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735"/>
  </bookViews>
  <sheets>
    <sheet name="Main" sheetId="1" r:id="rId1"/>
    <sheet name="AS08 Coeffs" sheetId="2" r:id="rId2"/>
    <sheet name="AS08" sheetId="3" r:id="rId3"/>
    <sheet name="BA08 Coeffs" sheetId="5" r:id="rId4"/>
    <sheet name="BA08" sheetId="6" r:id="rId5"/>
    <sheet name="CB08 Coeffs" sheetId="8" r:id="rId6"/>
    <sheet name="CB08" sheetId="7" r:id="rId7"/>
    <sheet name="CY08 Coeffs" sheetId="10" r:id="rId8"/>
    <sheet name="CY08" sheetId="9" r:id="rId9"/>
    <sheet name="I08 Coeffs" sheetId="11" r:id="rId10"/>
    <sheet name="I08" sheetId="12" r:id="rId11"/>
  </sheets>
  <calcPr calcId="124519"/>
</workbook>
</file>

<file path=xl/calcChain.xml><?xml version="1.0" encoding="utf-8"?>
<calcChain xmlns="http://schemas.openxmlformats.org/spreadsheetml/2006/main">
  <c r="A57" i="3"/>
  <c r="A33" i="9"/>
  <c r="A36" s="1"/>
  <c r="A27" i="7"/>
  <c r="F23" s="1"/>
  <c r="G23" s="1"/>
  <c r="A24" i="6"/>
  <c r="F25" s="1"/>
  <c r="E25" s="1"/>
  <c r="A33" i="3"/>
  <c r="G21" s="1"/>
  <c r="H21" s="1"/>
  <c r="B44" i="1"/>
  <c r="B43"/>
  <c r="A6" i="12"/>
  <c r="F12" s="1"/>
  <c r="A9"/>
  <c r="A12"/>
  <c r="A15"/>
  <c r="F14"/>
  <c r="A6" i="9"/>
  <c r="H12" s="1"/>
  <c r="A9"/>
  <c r="A12"/>
  <c r="A15"/>
  <c r="A18"/>
  <c r="E6" s="1"/>
  <c r="A21"/>
  <c r="E8" s="1"/>
  <c r="A24"/>
  <c r="A27"/>
  <c r="A30"/>
  <c r="A42"/>
  <c r="A39"/>
  <c r="A45"/>
  <c r="A6" i="7"/>
  <c r="H6"/>
  <c r="I6"/>
  <c r="H7"/>
  <c r="I7"/>
  <c r="H8"/>
  <c r="I8"/>
  <c r="A9"/>
  <c r="H9"/>
  <c r="I9"/>
  <c r="H10"/>
  <c r="I10"/>
  <c r="H11"/>
  <c r="I11"/>
  <c r="A12"/>
  <c r="H12"/>
  <c r="I12"/>
  <c r="H13"/>
  <c r="I13"/>
  <c r="H14"/>
  <c r="I14"/>
  <c r="A15"/>
  <c r="H15"/>
  <c r="I15"/>
  <c r="H16"/>
  <c r="I16"/>
  <c r="H17"/>
  <c r="I17"/>
  <c r="A18"/>
  <c r="H18"/>
  <c r="I18"/>
  <c r="H19"/>
  <c r="I19"/>
  <c r="H20"/>
  <c r="I20"/>
  <c r="A21"/>
  <c r="H21"/>
  <c r="I21"/>
  <c r="H22"/>
  <c r="I22"/>
  <c r="H23"/>
  <c r="I23"/>
  <c r="A24"/>
  <c r="H24"/>
  <c r="I24"/>
  <c r="H25"/>
  <c r="I25"/>
  <c r="H26"/>
  <c r="I26"/>
  <c r="H28"/>
  <c r="I28"/>
  <c r="H29"/>
  <c r="I29"/>
  <c r="H30"/>
  <c r="I30"/>
  <c r="A6" i="6"/>
  <c r="G6"/>
  <c r="H6"/>
  <c r="I6"/>
  <c r="J6"/>
  <c r="K6"/>
  <c r="G7"/>
  <c r="H7"/>
  <c r="I7"/>
  <c r="J7"/>
  <c r="K7"/>
  <c r="G8"/>
  <c r="H8"/>
  <c r="I8"/>
  <c r="J8"/>
  <c r="K8"/>
  <c r="A9"/>
  <c r="G9"/>
  <c r="H9"/>
  <c r="I9"/>
  <c r="J9"/>
  <c r="K9"/>
  <c r="G10"/>
  <c r="H10"/>
  <c r="I10"/>
  <c r="J10"/>
  <c r="K10"/>
  <c r="G11"/>
  <c r="H11"/>
  <c r="I11"/>
  <c r="J11"/>
  <c r="K11"/>
  <c r="A12"/>
  <c r="G12"/>
  <c r="H12"/>
  <c r="I12"/>
  <c r="J12"/>
  <c r="K12"/>
  <c r="G13"/>
  <c r="H13"/>
  <c r="I13"/>
  <c r="J13"/>
  <c r="K13"/>
  <c r="G14"/>
  <c r="H14"/>
  <c r="I14"/>
  <c r="J14"/>
  <c r="K14"/>
  <c r="A15"/>
  <c r="G15"/>
  <c r="H15"/>
  <c r="I15"/>
  <c r="J15"/>
  <c r="K15"/>
  <c r="G16"/>
  <c r="H16"/>
  <c r="I16"/>
  <c r="J16"/>
  <c r="K16"/>
  <c r="G17"/>
  <c r="H17"/>
  <c r="I17"/>
  <c r="J17"/>
  <c r="K17"/>
  <c r="A18"/>
  <c r="G18"/>
  <c r="H18"/>
  <c r="I18"/>
  <c r="J18"/>
  <c r="K18"/>
  <c r="G19"/>
  <c r="H19"/>
  <c r="I19"/>
  <c r="J19"/>
  <c r="K19"/>
  <c r="G20"/>
  <c r="H20"/>
  <c r="I20"/>
  <c r="J20"/>
  <c r="K20"/>
  <c r="A21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G25"/>
  <c r="H25"/>
  <c r="I25"/>
  <c r="J25"/>
  <c r="K25"/>
  <c r="G26"/>
  <c r="H26"/>
  <c r="I26"/>
  <c r="J26"/>
  <c r="K26"/>
  <c r="G28"/>
  <c r="H28"/>
  <c r="I28"/>
  <c r="J28"/>
  <c r="K28"/>
  <c r="G29"/>
  <c r="H29"/>
  <c r="I29"/>
  <c r="J29"/>
  <c r="K29"/>
  <c r="A6" i="3"/>
  <c r="I30" s="1"/>
  <c r="F6"/>
  <c r="F7"/>
  <c r="F8"/>
  <c r="A9"/>
  <c r="F9"/>
  <c r="F10"/>
  <c r="F11"/>
  <c r="A12"/>
  <c r="F12"/>
  <c r="F13"/>
  <c r="F14"/>
  <c r="A15"/>
  <c r="F15"/>
  <c r="F16"/>
  <c r="F17"/>
  <c r="A18"/>
  <c r="F18"/>
  <c r="F19"/>
  <c r="F20"/>
  <c r="A21"/>
  <c r="F21"/>
  <c r="F22"/>
  <c r="F23"/>
  <c r="A24"/>
  <c r="F24"/>
  <c r="F25"/>
  <c r="F26"/>
  <c r="A27"/>
  <c r="F27"/>
  <c r="F29"/>
  <c r="A30"/>
  <c r="F30"/>
  <c r="H30" s="1"/>
  <c r="A39"/>
  <c r="A42"/>
  <c r="L18" s="1"/>
  <c r="A45"/>
  <c r="G5" i="1"/>
  <c r="G6"/>
  <c r="G15" i="3"/>
  <c r="H15" s="1"/>
  <c r="G23"/>
  <c r="G27"/>
  <c r="H27" s="1"/>
  <c r="F7" i="6"/>
  <c r="G19" i="3"/>
  <c r="G18"/>
  <c r="G6"/>
  <c r="F17" i="6"/>
  <c r="E17" s="1"/>
  <c r="G24" i="3"/>
  <c r="G14"/>
  <c r="F9" i="12"/>
  <c r="F24"/>
  <c r="G11" i="3"/>
  <c r="F7" i="12"/>
  <c r="F10" i="6"/>
  <c r="F8" i="12"/>
  <c r="E18"/>
  <c r="F23" i="6"/>
  <c r="F13"/>
  <c r="F13" i="12"/>
  <c r="F19"/>
  <c r="G22" i="3"/>
  <c r="H6" i="9"/>
  <c r="H19"/>
  <c r="F14" i="6"/>
  <c r="H30" i="9"/>
  <c r="H15"/>
  <c r="H22"/>
  <c r="I21" i="3"/>
  <c r="E14"/>
  <c r="E18"/>
  <c r="E27"/>
  <c r="F20" i="7"/>
  <c r="G20" s="1"/>
  <c r="E26" i="3"/>
  <c r="E17"/>
  <c r="E15"/>
  <c r="H7" i="9"/>
  <c r="F18" i="7"/>
  <c r="G18" s="1"/>
  <c r="F13"/>
  <c r="G13" s="1"/>
  <c r="E22" i="3"/>
  <c r="E19"/>
  <c r="F22" i="7"/>
  <c r="G22" s="1"/>
  <c r="A29" i="6"/>
  <c r="E24" i="9"/>
  <c r="I8" i="3"/>
  <c r="E27" i="9"/>
  <c r="E9"/>
  <c r="G9" s="1"/>
  <c r="E18"/>
  <c r="H22" i="3"/>
  <c r="G10"/>
  <c r="H10" s="1"/>
  <c r="F21" i="12"/>
  <c r="F20"/>
  <c r="A48" i="3"/>
  <c r="G16"/>
  <c r="H16" s="1"/>
  <c r="E20"/>
  <c r="E24"/>
  <c r="E13" i="12"/>
  <c r="E17"/>
  <c r="G30" i="3"/>
  <c r="G8"/>
  <c r="H8" s="1"/>
  <c r="F16" i="12"/>
  <c r="E30" i="3"/>
  <c r="G12"/>
  <c r="H12" s="1"/>
  <c r="E24" i="12"/>
  <c r="G13" i="3"/>
  <c r="H13" s="1"/>
  <c r="E19" i="12"/>
  <c r="G17" i="3"/>
  <c r="E23" i="12"/>
  <c r="E21" i="3"/>
  <c r="E25"/>
  <c r="E23"/>
  <c r="G9"/>
  <c r="H9" s="1"/>
  <c r="E7" i="12"/>
  <c r="E11"/>
  <c r="F17"/>
  <c r="G25" i="3"/>
  <c r="H25" s="1"/>
  <c r="G7"/>
  <c r="H7" s="1"/>
  <c r="G20"/>
  <c r="E22" i="12"/>
  <c r="A36" i="3"/>
  <c r="H17" s="1"/>
  <c r="E16"/>
  <c r="G26"/>
  <c r="G29"/>
  <c r="E10" i="12"/>
  <c r="E9"/>
  <c r="E7" i="6"/>
  <c r="L24" i="3"/>
  <c r="H23"/>
  <c r="H6"/>
  <c r="H29"/>
  <c r="G8" i="9" l="1"/>
  <c r="I8" s="1"/>
  <c r="F8"/>
  <c r="J23" i="7"/>
  <c r="K23"/>
  <c r="G6" i="9"/>
  <c r="I6" s="1"/>
  <c r="F6"/>
  <c r="K18" i="7"/>
  <c r="J18"/>
  <c r="K13"/>
  <c r="J13"/>
  <c r="J20"/>
  <c r="K20"/>
  <c r="E22"/>
  <c r="J22"/>
  <c r="K22"/>
  <c r="H24" i="3"/>
  <c r="E24" i="7"/>
  <c r="G18" i="9"/>
  <c r="E19"/>
  <c r="I20" i="3"/>
  <c r="M19"/>
  <c r="H23" i="9"/>
  <c r="H8"/>
  <c r="E8" i="7"/>
  <c r="E7" i="9"/>
  <c r="I17" i="3"/>
  <c r="L20"/>
  <c r="N20" s="1"/>
  <c r="E16" i="7"/>
  <c r="E10" i="6"/>
  <c r="E26" i="12"/>
  <c r="L15" i="3"/>
  <c r="E23" i="6"/>
  <c r="I13" i="3"/>
  <c r="I27"/>
  <c r="H11" i="9"/>
  <c r="F21" i="6"/>
  <c r="E21" s="1"/>
  <c r="F6"/>
  <c r="F19"/>
  <c r="E19" s="1"/>
  <c r="F28"/>
  <c r="E28" s="1"/>
  <c r="E11" i="7"/>
  <c r="L25" i="3"/>
  <c r="N25" s="1"/>
  <c r="M30"/>
  <c r="F12" i="7"/>
  <c r="G12" s="1"/>
  <c r="E28"/>
  <c r="E12" s="1"/>
  <c r="F27" i="9"/>
  <c r="E13" i="6"/>
  <c r="E12" i="12"/>
  <c r="F10"/>
  <c r="E20"/>
  <c r="E14"/>
  <c r="E17" i="9"/>
  <c r="E20"/>
  <c r="E13"/>
  <c r="I7" i="3"/>
  <c r="I29"/>
  <c r="I9"/>
  <c r="I15"/>
  <c r="A54"/>
  <c r="F25" i="7"/>
  <c r="G25" s="1"/>
  <c r="F16"/>
  <c r="G16" s="1"/>
  <c r="F21"/>
  <c r="G21" s="1"/>
  <c r="M27" i="3"/>
  <c r="H14" i="9"/>
  <c r="A51" i="3"/>
  <c r="F15" i="6"/>
  <c r="E15" s="1"/>
  <c r="F20"/>
  <c r="E20" s="1"/>
  <c r="F8"/>
  <c r="E8" s="1"/>
  <c r="F12"/>
  <c r="F29"/>
  <c r="E29" s="1"/>
  <c r="H17" i="9"/>
  <c r="F16" i="6"/>
  <c r="E16" s="1"/>
  <c r="E26" i="7"/>
  <c r="F18" i="9"/>
  <c r="L27" i="3"/>
  <c r="F9" i="9"/>
  <c r="I11" i="3"/>
  <c r="F24" i="9"/>
  <c r="I18" i="3"/>
  <c r="L19"/>
  <c r="N19" s="1"/>
  <c r="I19"/>
  <c r="E9" i="7"/>
  <c r="H18" i="3"/>
  <c r="A30" i="7"/>
  <c r="H14" i="3"/>
  <c r="E30" i="9"/>
  <c r="E14"/>
  <c r="L17" i="3"/>
  <c r="M22"/>
  <c r="E26" i="9"/>
  <c r="H13"/>
  <c r="H11" i="3"/>
  <c r="E17" i="7"/>
  <c r="A35"/>
  <c r="M18" i="3"/>
  <c r="N18" s="1"/>
  <c r="L14"/>
  <c r="N14" s="1"/>
  <c r="F29" i="7"/>
  <c r="G29" s="1"/>
  <c r="F19"/>
  <c r="G19" s="1"/>
  <c r="F14"/>
  <c r="G14" s="1"/>
  <c r="M26" i="3"/>
  <c r="H18" i="9"/>
  <c r="I18" s="1"/>
  <c r="H20"/>
  <c r="M25" i="3"/>
  <c r="E8" i="12"/>
  <c r="F6"/>
  <c r="I14" i="3"/>
  <c r="F17" i="7"/>
  <c r="G17" s="1"/>
  <c r="H10" i="9"/>
  <c r="F24" i="6"/>
  <c r="L21" i="3"/>
  <c r="N21" s="1"/>
  <c r="L16"/>
  <c r="L30"/>
  <c r="N30" s="1"/>
  <c r="F28" i="7"/>
  <c r="G28" s="1"/>
  <c r="G27" i="9"/>
  <c r="E16" i="12"/>
  <c r="H20" i="3"/>
  <c r="F26" i="12"/>
  <c r="F22"/>
  <c r="L26" i="3"/>
  <c r="E6" i="12"/>
  <c r="E10" i="9"/>
  <c r="E12"/>
  <c r="L22" i="3"/>
  <c r="N22" s="1"/>
  <c r="I10"/>
  <c r="I6"/>
  <c r="I25"/>
  <c r="I12"/>
  <c r="E15" i="9"/>
  <c r="F24" i="7"/>
  <c r="G24" s="1"/>
  <c r="M15" i="3"/>
  <c r="F15" i="7"/>
  <c r="G15" s="1"/>
  <c r="I22" i="3"/>
  <c r="H21" i="9"/>
  <c r="F11" i="6"/>
  <c r="E11" s="1"/>
  <c r="H24" i="9"/>
  <c r="I24" s="1"/>
  <c r="F9" i="6"/>
  <c r="E9" s="1"/>
  <c r="F26"/>
  <c r="E26" s="1"/>
  <c r="H16" i="9"/>
  <c r="E21" i="12"/>
  <c r="M23" i="3"/>
  <c r="E25" i="7"/>
  <c r="E23"/>
  <c r="E16" i="9"/>
  <c r="E25"/>
  <c r="I26" i="3"/>
  <c r="E11" i="9"/>
  <c r="E13" i="7"/>
  <c r="L23" i="3"/>
  <c r="E23" i="9"/>
  <c r="I23" i="3"/>
  <c r="M14"/>
  <c r="H29" i="9"/>
  <c r="H19" i="3"/>
  <c r="M20"/>
  <c r="G24" i="9"/>
  <c r="E21"/>
  <c r="I24" i="3"/>
  <c r="H25" i="9"/>
  <c r="E19" i="7"/>
  <c r="E12" i="6"/>
  <c r="F18" i="12"/>
  <c r="E22" i="9"/>
  <c r="E14" i="6"/>
  <c r="H26" i="9"/>
  <c r="F23" i="12"/>
  <c r="E10" i="7"/>
  <c r="M21" i="3"/>
  <c r="M16"/>
  <c r="H26"/>
  <c r="M24"/>
  <c r="N24" s="1"/>
  <c r="F9" i="7"/>
  <c r="G9" s="1"/>
  <c r="F6"/>
  <c r="G6" s="1"/>
  <c r="E24" i="6"/>
  <c r="E15" i="12"/>
  <c r="F15"/>
  <c r="M17" i="3"/>
  <c r="E29" i="9"/>
  <c r="E6" i="6"/>
  <c r="I16" i="3"/>
  <c r="F30" i="7"/>
  <c r="G30" s="1"/>
  <c r="F26"/>
  <c r="G26" s="1"/>
  <c r="H27" i="9"/>
  <c r="I27" s="1"/>
  <c r="H9"/>
  <c r="I9" s="1"/>
  <c r="F22" i="6"/>
  <c r="E22" s="1"/>
  <c r="F18"/>
  <c r="E18" s="1"/>
  <c r="F11" i="12"/>
  <c r="J26" i="7" l="1"/>
  <c r="K26"/>
  <c r="I14" i="9"/>
  <c r="F14"/>
  <c r="G14"/>
  <c r="I7"/>
  <c r="F7"/>
  <c r="G7"/>
  <c r="F11"/>
  <c r="G11"/>
  <c r="I11" s="1"/>
  <c r="F10" i="7"/>
  <c r="G10" s="1"/>
  <c r="E15"/>
  <c r="E14"/>
  <c r="F11"/>
  <c r="G11" s="1"/>
  <c r="F7"/>
  <c r="G7" s="1"/>
  <c r="E21"/>
  <c r="J21" i="3"/>
  <c r="J24"/>
  <c r="J25"/>
  <c r="J6"/>
  <c r="J14"/>
  <c r="K16"/>
  <c r="K30"/>
  <c r="K27"/>
  <c r="K19"/>
  <c r="J22"/>
  <c r="J26"/>
  <c r="K6"/>
  <c r="K29"/>
  <c r="K9"/>
  <c r="J17"/>
  <c r="J13"/>
  <c r="J15"/>
  <c r="J9"/>
  <c r="K20"/>
  <c r="K7"/>
  <c r="J23"/>
  <c r="K21"/>
  <c r="K10"/>
  <c r="K11"/>
  <c r="J19"/>
  <c r="K13"/>
  <c r="J18"/>
  <c r="K22"/>
  <c r="J8"/>
  <c r="J16"/>
  <c r="K17"/>
  <c r="J12"/>
  <c r="J7"/>
  <c r="J20"/>
  <c r="K14"/>
  <c r="K25"/>
  <c r="K8"/>
  <c r="J11"/>
  <c r="K18"/>
  <c r="K24"/>
  <c r="K12"/>
  <c r="J10"/>
  <c r="K15"/>
  <c r="K23"/>
  <c r="K26"/>
  <c r="N16"/>
  <c r="N17"/>
  <c r="E29" i="7"/>
  <c r="G12" i="9"/>
  <c r="I12" s="1"/>
  <c r="F12"/>
  <c r="I19"/>
  <c r="F19"/>
  <c r="G19"/>
  <c r="K28" i="7"/>
  <c r="J28"/>
  <c r="E11" i="3"/>
  <c r="E13"/>
  <c r="E9"/>
  <c r="E29"/>
  <c r="E12"/>
  <c r="E8"/>
  <c r="E7"/>
  <c r="E10"/>
  <c r="E6"/>
  <c r="I22" i="9"/>
  <c r="G22"/>
  <c r="F22"/>
  <c r="J29" i="7"/>
  <c r="K29"/>
  <c r="K25"/>
  <c r="J25"/>
  <c r="F17" i="9"/>
  <c r="G17"/>
  <c r="I17" s="1"/>
  <c r="N23" i="3"/>
  <c r="N26"/>
  <c r="E7" i="7"/>
  <c r="N27" i="3"/>
  <c r="E30" i="7"/>
  <c r="E6"/>
  <c r="J30"/>
  <c r="K30"/>
  <c r="I25" i="9"/>
  <c r="G25"/>
  <c r="F25"/>
  <c r="G30"/>
  <c r="I30"/>
  <c r="F30"/>
  <c r="K15" i="7"/>
  <c r="J15"/>
  <c r="J12"/>
  <c r="K12"/>
  <c r="G29" i="9"/>
  <c r="F29"/>
  <c r="I29"/>
  <c r="K17" i="7"/>
  <c r="J17"/>
  <c r="I26" i="9"/>
  <c r="F26"/>
  <c r="G26"/>
  <c r="K9" i="7"/>
  <c r="J9"/>
  <c r="G15" i="9"/>
  <c r="F15"/>
  <c r="I15"/>
  <c r="J19" i="7"/>
  <c r="K19"/>
  <c r="K16"/>
  <c r="J16"/>
  <c r="G20" i="9"/>
  <c r="I20"/>
  <c r="F20"/>
  <c r="E20" i="7"/>
  <c r="F8"/>
  <c r="G8" s="1"/>
  <c r="G23" i="9"/>
  <c r="I23" s="1"/>
  <c r="F23"/>
  <c r="K6" i="7"/>
  <c r="J6"/>
  <c r="G21" i="9"/>
  <c r="I21" s="1"/>
  <c r="F21"/>
  <c r="I16"/>
  <c r="F16"/>
  <c r="G16"/>
  <c r="J24" i="7"/>
  <c r="K24"/>
  <c r="F10" i="9"/>
  <c r="G10"/>
  <c r="I10" s="1"/>
  <c r="J14" i="7"/>
  <c r="K14"/>
  <c r="K21"/>
  <c r="J21"/>
  <c r="F13" i="9"/>
  <c r="I13"/>
  <c r="G13"/>
  <c r="E18" i="7"/>
  <c r="N15" i="3"/>
  <c r="M11" l="1"/>
  <c r="L11"/>
  <c r="N11" s="1"/>
  <c r="F17" i="1" s="1"/>
  <c r="E19"/>
  <c r="H19" s="1"/>
  <c r="K8" i="7"/>
  <c r="J8"/>
  <c r="E21" i="1"/>
  <c r="H21" s="1"/>
  <c r="G21"/>
  <c r="F21"/>
  <c r="L10" i="3"/>
  <c r="M10"/>
  <c r="E30" i="1"/>
  <c r="H30" s="1"/>
  <c r="G30"/>
  <c r="F30"/>
  <c r="E17"/>
  <c r="H17" s="1"/>
  <c r="E33"/>
  <c r="H33" s="1"/>
  <c r="F33"/>
  <c r="G33"/>
  <c r="M6" i="3"/>
  <c r="L6"/>
  <c r="L13"/>
  <c r="M13"/>
  <c r="L9"/>
  <c r="N9" s="1"/>
  <c r="M9"/>
  <c r="F26" i="1"/>
  <c r="E26"/>
  <c r="H26" s="1"/>
  <c r="G26"/>
  <c r="L29" i="3"/>
  <c r="M29"/>
  <c r="F28" i="1"/>
  <c r="E28"/>
  <c r="H28" s="1"/>
  <c r="G28"/>
  <c r="E13"/>
  <c r="H13" s="1"/>
  <c r="M12" i="3"/>
  <c r="L12"/>
  <c r="N12" s="1"/>
  <c r="G32" i="1"/>
  <c r="E32"/>
  <c r="H32" s="1"/>
  <c r="F32"/>
  <c r="E15"/>
  <c r="H15" s="1"/>
  <c r="E36"/>
  <c r="E18"/>
  <c r="H18" s="1"/>
  <c r="G18"/>
  <c r="F18"/>
  <c r="G25"/>
  <c r="E25"/>
  <c r="H25" s="1"/>
  <c r="F25"/>
  <c r="E20"/>
  <c r="H20" s="1"/>
  <c r="F20"/>
  <c r="G20"/>
  <c r="F31"/>
  <c r="G31"/>
  <c r="E31"/>
  <c r="H31" s="1"/>
  <c r="M8" i="3"/>
  <c r="L8"/>
  <c r="F27" i="1"/>
  <c r="E27"/>
  <c r="H27" s="1"/>
  <c r="G27"/>
  <c r="G22"/>
  <c r="F22"/>
  <c r="E22"/>
  <c r="H22" s="1"/>
  <c r="K11" i="7"/>
  <c r="J11"/>
  <c r="K10"/>
  <c r="J10"/>
  <c r="F29" i="1"/>
  <c r="G29"/>
  <c r="E29"/>
  <c r="H29" s="1"/>
  <c r="E14"/>
  <c r="H14" s="1"/>
  <c r="M7" i="3"/>
  <c r="L7"/>
  <c r="N7" s="1"/>
  <c r="G14" i="1" s="1"/>
  <c r="E24"/>
  <c r="H24" s="1"/>
  <c r="G24"/>
  <c r="F24"/>
  <c r="E23"/>
  <c r="H23" s="1"/>
  <c r="F23"/>
  <c r="G23"/>
  <c r="E16"/>
  <c r="H16" s="1"/>
  <c r="G37"/>
  <c r="E37"/>
  <c r="F37"/>
  <c r="J7" i="7"/>
  <c r="F14" i="1" s="1"/>
  <c r="K7" i="7"/>
  <c r="G17" i="1" l="1"/>
  <c r="N10" i="3"/>
  <c r="N8"/>
  <c r="N29"/>
  <c r="N6"/>
  <c r="N13"/>
  <c r="F16" i="1" l="1"/>
  <c r="G16"/>
  <c r="G15"/>
  <c r="F15"/>
  <c r="G13"/>
  <c r="F13"/>
  <c r="F19"/>
  <c r="G19"/>
  <c r="F36"/>
  <c r="G36"/>
</calcChain>
</file>

<file path=xl/sharedStrings.xml><?xml version="1.0" encoding="utf-8"?>
<sst xmlns="http://schemas.openxmlformats.org/spreadsheetml/2006/main" count="509" uniqueCount="292">
  <si>
    <t>ABRAHAMSON-SILVA NGA MODEL COEFFICIENTS (FEB 2008, EARTHQUAKE SPECTRA, V. 24, P. 67-97):</t>
  </si>
  <si>
    <r>
      <t>T</t>
    </r>
    <r>
      <rPr>
        <b/>
        <sz val="10"/>
        <rFont val="Arial"/>
        <family val="2"/>
      </rPr>
      <t xml:space="preserve"> (s)</t>
    </r>
  </si>
  <si>
    <r>
      <t>c</t>
    </r>
    <r>
      <rPr>
        <b/>
        <vertAlign val="subscript"/>
        <sz val="10"/>
        <rFont val="Arial"/>
        <family val="2"/>
      </rPr>
      <t>1</t>
    </r>
  </si>
  <si>
    <r>
      <t>c</t>
    </r>
    <r>
      <rPr>
        <b/>
        <vertAlign val="subscript"/>
        <sz val="10"/>
        <rFont val="Arial"/>
        <family val="2"/>
      </rPr>
      <t>4</t>
    </r>
  </si>
  <si>
    <r>
      <t>a</t>
    </r>
    <r>
      <rPr>
        <b/>
        <vertAlign val="subscript"/>
        <sz val="10"/>
        <rFont val="Arial"/>
        <family val="2"/>
      </rPr>
      <t>3</t>
    </r>
  </si>
  <si>
    <r>
      <t>a</t>
    </r>
    <r>
      <rPr>
        <b/>
        <vertAlign val="subscript"/>
        <sz val="10"/>
        <rFont val="Arial"/>
        <family val="2"/>
      </rPr>
      <t>4</t>
    </r>
  </si>
  <si>
    <r>
      <t>a</t>
    </r>
    <r>
      <rPr>
        <b/>
        <vertAlign val="subscript"/>
        <sz val="10"/>
        <rFont val="Arial"/>
        <family val="2"/>
      </rPr>
      <t>5</t>
    </r>
  </si>
  <si>
    <t>n</t>
  </si>
  <si>
    <t>c</t>
  </si>
  <si>
    <r>
      <t>c</t>
    </r>
    <r>
      <rPr>
        <b/>
        <vertAlign val="subscript"/>
        <sz val="10"/>
        <rFont val="Arial"/>
        <family val="2"/>
      </rPr>
      <t>2</t>
    </r>
  </si>
  <si>
    <r>
      <t>V</t>
    </r>
    <r>
      <rPr>
        <b/>
        <i/>
        <vertAlign val="subscript"/>
        <sz val="10"/>
        <rFont val="Arial"/>
        <family val="2"/>
      </rPr>
      <t>LIN</t>
    </r>
  </si>
  <si>
    <t>b</t>
  </si>
  <si>
    <r>
      <t>a</t>
    </r>
    <r>
      <rPr>
        <b/>
        <vertAlign val="subscript"/>
        <sz val="10"/>
        <rFont val="Arial"/>
        <family val="2"/>
      </rPr>
      <t>1</t>
    </r>
  </si>
  <si>
    <r>
      <t>a</t>
    </r>
    <r>
      <rPr>
        <b/>
        <vertAlign val="subscript"/>
        <sz val="10"/>
        <rFont val="Arial"/>
        <family val="2"/>
      </rPr>
      <t>2</t>
    </r>
  </si>
  <si>
    <r>
      <t>a</t>
    </r>
    <r>
      <rPr>
        <b/>
        <vertAlign val="subscript"/>
        <sz val="10"/>
        <rFont val="Arial"/>
        <family val="2"/>
      </rPr>
      <t>8</t>
    </r>
  </si>
  <si>
    <r>
      <t>a</t>
    </r>
    <r>
      <rPr>
        <b/>
        <vertAlign val="subscript"/>
        <sz val="10"/>
        <rFont val="Arial"/>
        <family val="2"/>
      </rPr>
      <t>10</t>
    </r>
  </si>
  <si>
    <r>
      <t>a</t>
    </r>
    <r>
      <rPr>
        <b/>
        <vertAlign val="subscript"/>
        <sz val="10"/>
        <rFont val="Arial"/>
        <family val="2"/>
      </rPr>
      <t>12</t>
    </r>
  </si>
  <si>
    <r>
      <t>a</t>
    </r>
    <r>
      <rPr>
        <b/>
        <vertAlign val="subscript"/>
        <sz val="10"/>
        <rFont val="Arial"/>
        <family val="2"/>
      </rPr>
      <t>13</t>
    </r>
  </si>
  <si>
    <r>
      <t>a</t>
    </r>
    <r>
      <rPr>
        <b/>
        <vertAlign val="subscript"/>
        <sz val="10"/>
        <rFont val="Arial"/>
        <family val="2"/>
      </rPr>
      <t>14</t>
    </r>
  </si>
  <si>
    <r>
      <t>a</t>
    </r>
    <r>
      <rPr>
        <b/>
        <vertAlign val="subscript"/>
        <sz val="10"/>
        <rFont val="Arial"/>
        <family val="2"/>
      </rPr>
      <t>15</t>
    </r>
  </si>
  <si>
    <r>
      <t>a</t>
    </r>
    <r>
      <rPr>
        <b/>
        <vertAlign val="subscript"/>
        <sz val="10"/>
        <rFont val="Arial"/>
        <family val="2"/>
      </rPr>
      <t>16</t>
    </r>
  </si>
  <si>
    <r>
      <t>a</t>
    </r>
    <r>
      <rPr>
        <b/>
        <vertAlign val="subscript"/>
        <sz val="10"/>
        <rFont val="Arial"/>
        <family val="2"/>
      </rPr>
      <t>18</t>
    </r>
  </si>
  <si>
    <r>
      <t>s</t>
    </r>
    <r>
      <rPr>
        <b/>
        <vertAlign val="subscript"/>
        <sz val="10"/>
        <rFont val="Arial"/>
        <family val="2"/>
      </rPr>
      <t>1</t>
    </r>
  </si>
  <si>
    <r>
      <t>s</t>
    </r>
    <r>
      <rPr>
        <b/>
        <vertAlign val="subscript"/>
        <sz val="10"/>
        <rFont val="Arial"/>
        <family val="2"/>
      </rPr>
      <t>2</t>
    </r>
  </si>
  <si>
    <r>
      <t>s</t>
    </r>
    <r>
      <rPr>
        <b/>
        <vertAlign val="subscript"/>
        <sz val="10"/>
        <rFont val="Arial"/>
        <family val="2"/>
      </rPr>
      <t>3</t>
    </r>
  </si>
  <si>
    <r>
      <t>s</t>
    </r>
    <r>
      <rPr>
        <b/>
        <vertAlign val="subscript"/>
        <sz val="10"/>
        <rFont val="Arial"/>
        <family val="2"/>
      </rPr>
      <t>4</t>
    </r>
  </si>
  <si>
    <r>
      <t>r</t>
    </r>
    <r>
      <rPr>
        <b/>
        <i/>
        <vertAlign val="subscript"/>
        <sz val="10"/>
        <rFont val="Symbol"/>
        <family val="1"/>
        <charset val="2"/>
      </rPr>
      <t>h</t>
    </r>
    <r>
      <rPr>
        <b/>
        <vertAlign val="subscript"/>
        <sz val="10"/>
        <rFont val="Symbol"/>
        <family val="1"/>
        <charset val="2"/>
      </rPr>
      <t>/</t>
    </r>
    <r>
      <rPr>
        <b/>
        <i/>
        <vertAlign val="subscript"/>
        <sz val="10"/>
        <rFont val="Symbol"/>
        <family val="1"/>
        <charset val="2"/>
      </rPr>
      <t>t</t>
    </r>
  </si>
  <si>
    <r>
      <t xml:space="preserve">Estimated </t>
    </r>
    <r>
      <rPr>
        <b/>
        <i/>
        <sz val="10"/>
        <rFont val="Arial"/>
        <family val="2"/>
      </rPr>
      <t>V</t>
    </r>
    <r>
      <rPr>
        <b/>
        <i/>
        <vertAlign val="subscript"/>
        <sz val="10"/>
        <rFont val="Arial"/>
        <family val="2"/>
      </rPr>
      <t>S</t>
    </r>
    <r>
      <rPr>
        <b/>
        <vertAlign val="subscript"/>
        <sz val="10"/>
        <rFont val="Arial"/>
        <family val="2"/>
      </rPr>
      <t>30</t>
    </r>
  </si>
  <si>
    <r>
      <t xml:space="preserve">Measured </t>
    </r>
    <r>
      <rPr>
        <b/>
        <i/>
        <sz val="10"/>
        <rFont val="Arial"/>
        <family val="2"/>
      </rPr>
      <t>V</t>
    </r>
    <r>
      <rPr>
        <b/>
        <i/>
        <vertAlign val="subscript"/>
        <sz val="10"/>
        <rFont val="Arial"/>
        <family val="2"/>
      </rPr>
      <t>S</t>
    </r>
    <r>
      <rPr>
        <b/>
        <vertAlign val="subscript"/>
        <sz val="10"/>
        <rFont val="Arial"/>
        <family val="2"/>
      </rPr>
      <t>30</t>
    </r>
  </si>
  <si>
    <t>t</t>
  </si>
  <si>
    <t>M</t>
  </si>
  <si>
    <t>PGA (g)</t>
  </si>
  <si>
    <t>GMP</t>
  </si>
  <si>
    <t>Median</t>
  </si>
  <si>
    <t>DEFINITION OF PARAMETERS:</t>
  </si>
  <si>
    <t xml:space="preserve">   PGA</t>
  </si>
  <si>
    <t>=  Peak ground acceleration (g)</t>
  </si>
  <si>
    <t>=  Moment magnitude</t>
  </si>
  <si>
    <t>=  Depth to top of coseismic rupture (km)</t>
  </si>
  <si>
    <t>=  Pseudo-absolute acceleration response spectrum (g; 5% damping)</t>
  </si>
  <si>
    <t>=  Closest distance to coseismic rupture (km)</t>
  </si>
  <si>
    <t>=  Closest distance to surface projection of coseismic rupture (km)</t>
  </si>
  <si>
    <t>=  Reverse-faulting factor:  0 for strike slip, normal, normal-oblique; 1 for reverse, reverse-oblique and thrust</t>
  </si>
  <si>
    <t>=  Average dip of rupture plane (degrees)</t>
  </si>
  <si>
    <t>=  Average shear-wave velocity in top 30m of site profile</t>
  </si>
  <si>
    <t xml:space="preserve">   M</t>
  </si>
  <si>
    <t>W</t>
  </si>
  <si>
    <t>Explanatory Variables</t>
  </si>
  <si>
    <t>Geometric Mean Horizontal Component</t>
  </si>
  <si>
    <t>PSA (g)</t>
  </si>
  <si>
    <t xml:space="preserve">   PSA</t>
  </si>
  <si>
    <t>=  Horizontal distance from top of rupture measured perpendicular to fault strike (km)</t>
  </si>
  <si>
    <t>=  Hanging-wall factor:  1 for site on down-dip side of top of rupture; 0 otherwise</t>
  </si>
  <si>
    <t>=  Normal-faulting factor:  0 for strike slip, reverse, reverse-oblique, thrust and normal-oblique; 1 for normal</t>
  </si>
  <si>
    <t xml:space="preserve">   AS</t>
  </si>
  <si>
    <t>=  Aftershock factor:  0 for mainshock; 1 for aftershock</t>
  </si>
  <si>
    <t xml:space="preserve">  d</t>
  </si>
  <si>
    <t>=  Depth to 1.0 km/sec velocity horizon (m)</t>
  </si>
  <si>
    <t>=  Vs30 Factor:  1 if VS30 is measured, 0 if Vs30 is inferred</t>
  </si>
  <si>
    <t>PGV (c/s)</t>
  </si>
  <si>
    <t>s</t>
  </si>
  <si>
    <t xml:space="preserve">   PGV</t>
  </si>
  <si>
    <t xml:space="preserve">   W</t>
  </si>
  <si>
    <t>=  Fault rupture width (km)</t>
  </si>
  <si>
    <t>=  PGA on rock with Vs30 = 1100 m/s (g)</t>
  </si>
  <si>
    <t>=  Peak ground velocity (cm/s)</t>
  </si>
  <si>
    <t>=  Period at which rock spectrum reaches constant displacement (s)</t>
  </si>
  <si>
    <t>Dip</t>
  </si>
  <si>
    <t>CALCUATION OF GROUND MOTION FOR ABRAHAMSON-SILVA NGA MODEL (FEB 2008, EARTHQUAKE SPECTRA, V. 24, P. 67-97):</t>
  </si>
  <si>
    <r>
      <t>T</t>
    </r>
    <r>
      <rPr>
        <b/>
        <sz val="10"/>
        <rFont val="Arial"/>
        <family val="2"/>
      </rPr>
      <t xml:space="preserve"> (s)</t>
    </r>
  </si>
  <si>
    <r>
      <t>¶</t>
    </r>
    <r>
      <rPr>
        <b/>
        <sz val="10"/>
        <rFont val="Arial"/>
        <family val="2"/>
      </rPr>
      <t>lnAF/</t>
    </r>
    <r>
      <rPr>
        <b/>
        <sz val="10"/>
        <rFont val="Symbol"/>
        <family val="1"/>
        <charset val="2"/>
      </rPr>
      <t>¶</t>
    </r>
    <r>
      <rPr>
        <b/>
        <sz val="10"/>
        <rFont val="Arial"/>
        <family val="2"/>
      </rPr>
      <t>lnA</t>
    </r>
  </si>
  <si>
    <r>
      <t>V</t>
    </r>
    <r>
      <rPr>
        <b/>
        <vertAlign val="subscript"/>
        <sz val="10"/>
        <rFont val="Arial"/>
        <family val="2"/>
      </rPr>
      <t>1</t>
    </r>
  </si>
  <si>
    <r>
      <t>e</t>
    </r>
    <r>
      <rPr>
        <b/>
        <vertAlign val="subscript"/>
        <sz val="10"/>
        <rFont val="Arial"/>
        <family val="2"/>
      </rPr>
      <t>2</t>
    </r>
  </si>
  <si>
    <r>
      <t>a</t>
    </r>
    <r>
      <rPr>
        <b/>
        <vertAlign val="subscript"/>
        <sz val="10"/>
        <rFont val="Arial"/>
        <family val="2"/>
      </rPr>
      <t>21</t>
    </r>
  </si>
  <si>
    <r>
      <t>PSA</t>
    </r>
    <r>
      <rPr>
        <b/>
        <i/>
        <vertAlign val="subscript"/>
        <sz val="10"/>
        <rFont val="Arial"/>
        <family val="2"/>
      </rPr>
      <t>1100</t>
    </r>
  </si>
  <si>
    <r>
      <t>T</t>
    </r>
    <r>
      <rPr>
        <b/>
        <i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 xml:space="preserve"> Limit</t>
    </r>
  </si>
  <si>
    <r>
      <t>s</t>
    </r>
    <r>
      <rPr>
        <b/>
        <i/>
        <vertAlign val="subscript"/>
        <sz val="10"/>
        <rFont val="Arial"/>
        <family val="2"/>
      </rPr>
      <t>T</t>
    </r>
  </si>
  <si>
    <r>
      <t>R</t>
    </r>
    <r>
      <rPr>
        <b/>
        <i/>
        <vertAlign val="subscript"/>
        <sz val="10"/>
        <rFont val="Arial"/>
        <family val="2"/>
      </rPr>
      <t>RUP</t>
    </r>
  </si>
  <si>
    <r>
      <t>R</t>
    </r>
    <r>
      <rPr>
        <b/>
        <i/>
        <vertAlign val="subscript"/>
        <sz val="10"/>
        <rFont val="Arial"/>
        <family val="2"/>
      </rPr>
      <t>JB</t>
    </r>
  </si>
  <si>
    <r>
      <t>R</t>
    </r>
    <r>
      <rPr>
        <b/>
        <i/>
        <vertAlign val="subscript"/>
        <sz val="10"/>
        <rFont val="Arial"/>
        <family val="2"/>
      </rPr>
      <t>X</t>
    </r>
  </si>
  <si>
    <r>
      <t>F</t>
    </r>
    <r>
      <rPr>
        <b/>
        <i/>
        <vertAlign val="subscript"/>
        <sz val="10"/>
        <rFont val="Arial"/>
        <family val="2"/>
      </rPr>
      <t>RV</t>
    </r>
  </si>
  <si>
    <r>
      <t>F</t>
    </r>
    <r>
      <rPr>
        <b/>
        <i/>
        <vertAlign val="subscript"/>
        <sz val="10"/>
        <rFont val="Arial"/>
        <family val="2"/>
      </rPr>
      <t>NM</t>
    </r>
  </si>
  <si>
    <r>
      <t>F</t>
    </r>
    <r>
      <rPr>
        <b/>
        <i/>
        <vertAlign val="subscript"/>
        <sz val="10"/>
        <rFont val="Arial"/>
        <family val="2"/>
      </rPr>
      <t>HW</t>
    </r>
  </si>
  <si>
    <r>
      <t>Z</t>
    </r>
    <r>
      <rPr>
        <b/>
        <i/>
        <vertAlign val="subscript"/>
        <sz val="10"/>
        <rFont val="Arial"/>
        <family val="2"/>
      </rPr>
      <t>TOR</t>
    </r>
  </si>
  <si>
    <r>
      <t>V</t>
    </r>
    <r>
      <rPr>
        <b/>
        <i/>
        <vertAlign val="subscript"/>
        <sz val="10"/>
        <rFont val="Arial"/>
        <family val="2"/>
      </rPr>
      <t>S30</t>
    </r>
  </si>
  <si>
    <r>
      <t>Z</t>
    </r>
    <r>
      <rPr>
        <b/>
        <i/>
        <vertAlign val="subscript"/>
        <sz val="10"/>
        <rFont val="Arial"/>
        <family val="2"/>
      </rPr>
      <t>1.0</t>
    </r>
  </si>
  <si>
    <r>
      <t>F</t>
    </r>
    <r>
      <rPr>
        <b/>
        <i/>
        <vertAlign val="subscript"/>
        <sz val="10"/>
        <rFont val="Arial"/>
        <family val="2"/>
      </rPr>
      <t>Measured</t>
    </r>
  </si>
  <si>
    <r>
      <t>F</t>
    </r>
    <r>
      <rPr>
        <b/>
        <i/>
        <vertAlign val="subscript"/>
        <sz val="10"/>
        <rFont val="Arial"/>
        <family val="2"/>
      </rPr>
      <t>AS</t>
    </r>
  </si>
  <si>
    <r>
      <t>Z</t>
    </r>
    <r>
      <rPr>
        <b/>
        <vertAlign val="subscript"/>
        <sz val="10"/>
        <rFont val="Arial"/>
        <family val="2"/>
      </rPr>
      <t>1.0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V</t>
    </r>
    <r>
      <rPr>
        <b/>
        <i/>
        <vertAlign val="subscript"/>
        <sz val="10"/>
        <rFont val="Arial"/>
        <family val="2"/>
      </rPr>
      <t>S</t>
    </r>
    <r>
      <rPr>
        <b/>
        <vertAlign val="subscript"/>
        <sz val="10"/>
        <rFont val="Arial"/>
        <family val="2"/>
      </rPr>
      <t>30</t>
    </r>
    <r>
      <rPr>
        <b/>
        <sz val="10"/>
        <rFont val="Arial"/>
        <family val="2"/>
      </rPr>
      <t>)</t>
    </r>
  </si>
  <si>
    <r>
      <t>T</t>
    </r>
    <r>
      <rPr>
        <b/>
        <i/>
        <vertAlign val="subscript"/>
        <sz val="10"/>
        <rFont val="Arial"/>
        <family val="2"/>
      </rPr>
      <t>D</t>
    </r>
  </si>
  <si>
    <r>
      <t>PGA</t>
    </r>
    <r>
      <rPr>
        <b/>
        <vertAlign val="subscript"/>
        <sz val="10"/>
        <rFont val="Arial"/>
        <family val="2"/>
      </rPr>
      <t>1100</t>
    </r>
  </si>
  <si>
    <r>
      <t xml:space="preserve">   R</t>
    </r>
    <r>
      <rPr>
        <b/>
        <i/>
        <vertAlign val="subscript"/>
        <sz val="10"/>
        <rFont val="Arial"/>
        <family val="2"/>
      </rPr>
      <t>RUP</t>
    </r>
  </si>
  <si>
    <r>
      <t xml:space="preserve">   R</t>
    </r>
    <r>
      <rPr>
        <b/>
        <i/>
        <vertAlign val="subscript"/>
        <sz val="10"/>
        <rFont val="Arial"/>
        <family val="2"/>
      </rPr>
      <t>JB</t>
    </r>
  </si>
  <si>
    <r>
      <t xml:space="preserve">   R</t>
    </r>
    <r>
      <rPr>
        <b/>
        <i/>
        <vertAlign val="subscript"/>
        <sz val="10"/>
        <rFont val="Arial"/>
        <family val="2"/>
      </rPr>
      <t>X</t>
    </r>
  </si>
  <si>
    <r>
      <t xml:space="preserve">   F</t>
    </r>
    <r>
      <rPr>
        <b/>
        <i/>
        <vertAlign val="subscript"/>
        <sz val="10"/>
        <rFont val="Arial"/>
        <family val="2"/>
      </rPr>
      <t>RV</t>
    </r>
  </si>
  <si>
    <r>
      <t xml:space="preserve">   F</t>
    </r>
    <r>
      <rPr>
        <b/>
        <i/>
        <vertAlign val="subscript"/>
        <sz val="10"/>
        <rFont val="Arial"/>
        <family val="2"/>
      </rPr>
      <t>N</t>
    </r>
  </si>
  <si>
    <r>
      <t xml:space="preserve">   F</t>
    </r>
    <r>
      <rPr>
        <b/>
        <i/>
        <vertAlign val="subscript"/>
        <sz val="10"/>
        <rFont val="Arial"/>
        <family val="2"/>
      </rPr>
      <t>HW</t>
    </r>
  </si>
  <si>
    <r>
      <t xml:space="preserve">   Z</t>
    </r>
    <r>
      <rPr>
        <b/>
        <i/>
        <vertAlign val="subscript"/>
        <sz val="10"/>
        <rFont val="Arial"/>
        <family val="2"/>
      </rPr>
      <t>TOR</t>
    </r>
  </si>
  <si>
    <r>
      <t xml:space="preserve">   V</t>
    </r>
    <r>
      <rPr>
        <b/>
        <i/>
        <vertAlign val="subscript"/>
        <sz val="10"/>
        <rFont val="Arial"/>
        <family val="2"/>
      </rPr>
      <t>S</t>
    </r>
    <r>
      <rPr>
        <b/>
        <vertAlign val="subscript"/>
        <sz val="10"/>
        <rFont val="Arial"/>
        <family val="2"/>
      </rPr>
      <t>30</t>
    </r>
  </si>
  <si>
    <r>
      <t xml:space="preserve">   Z</t>
    </r>
    <r>
      <rPr>
        <b/>
        <i/>
        <vertAlign val="subscript"/>
        <sz val="10"/>
        <rFont val="Arial"/>
        <family val="2"/>
      </rPr>
      <t>1.0</t>
    </r>
  </si>
  <si>
    <r>
      <t xml:space="preserve">   F</t>
    </r>
    <r>
      <rPr>
        <b/>
        <i/>
        <vertAlign val="subscript"/>
        <sz val="10"/>
        <rFont val="Arial"/>
        <family val="2"/>
      </rPr>
      <t>Measured</t>
    </r>
  </si>
  <si>
    <r>
      <t xml:space="preserve">   T</t>
    </r>
    <r>
      <rPr>
        <b/>
        <i/>
        <vertAlign val="subscript"/>
        <sz val="10"/>
        <rFont val="Arial"/>
        <family val="2"/>
      </rPr>
      <t>D</t>
    </r>
  </si>
  <si>
    <r>
      <t xml:space="preserve">   PGA</t>
    </r>
    <r>
      <rPr>
        <b/>
        <vertAlign val="subscript"/>
        <sz val="10"/>
        <rFont val="Arial"/>
        <family val="2"/>
      </rPr>
      <t>1100</t>
    </r>
  </si>
  <si>
    <t>BOORE-ATKINSON NGA MODEL COEFFICIENTS (FEB 2008, EARTHQUAKE SPECTRA, V. 24, P. 99-138):</t>
  </si>
  <si>
    <r>
      <t>e</t>
    </r>
    <r>
      <rPr>
        <b/>
        <vertAlign val="subscript"/>
        <sz val="10"/>
        <rFont val="Arial"/>
        <family val="2"/>
      </rPr>
      <t>1</t>
    </r>
  </si>
  <si>
    <r>
      <t>e</t>
    </r>
    <r>
      <rPr>
        <b/>
        <vertAlign val="subscript"/>
        <sz val="10"/>
        <rFont val="Arial"/>
        <family val="2"/>
      </rPr>
      <t>3</t>
    </r>
  </si>
  <si>
    <r>
      <t>e</t>
    </r>
    <r>
      <rPr>
        <b/>
        <vertAlign val="subscript"/>
        <sz val="10"/>
        <rFont val="Arial"/>
        <family val="2"/>
      </rPr>
      <t>4</t>
    </r>
  </si>
  <si>
    <r>
      <t>e</t>
    </r>
    <r>
      <rPr>
        <b/>
        <vertAlign val="subscript"/>
        <sz val="10"/>
        <rFont val="Arial"/>
        <family val="2"/>
      </rPr>
      <t>5</t>
    </r>
  </si>
  <si>
    <r>
      <t>e</t>
    </r>
    <r>
      <rPr>
        <b/>
        <vertAlign val="subscript"/>
        <sz val="10"/>
        <rFont val="Arial"/>
        <family val="2"/>
      </rPr>
      <t>6</t>
    </r>
  </si>
  <si>
    <r>
      <t>e</t>
    </r>
    <r>
      <rPr>
        <b/>
        <vertAlign val="subscript"/>
        <sz val="10"/>
        <rFont val="Arial"/>
        <family val="2"/>
      </rPr>
      <t>7</t>
    </r>
  </si>
  <si>
    <r>
      <t>M</t>
    </r>
    <r>
      <rPr>
        <b/>
        <i/>
        <vertAlign val="subscript"/>
        <sz val="10"/>
        <rFont val="Arial"/>
        <family val="2"/>
      </rPr>
      <t>h</t>
    </r>
  </si>
  <si>
    <r>
      <t>c</t>
    </r>
    <r>
      <rPr>
        <b/>
        <vertAlign val="subscript"/>
        <sz val="10"/>
        <rFont val="Arial"/>
        <family val="2"/>
      </rPr>
      <t>3</t>
    </r>
  </si>
  <si>
    <r>
      <t>M</t>
    </r>
    <r>
      <rPr>
        <b/>
        <i/>
        <vertAlign val="subscript"/>
        <sz val="10"/>
        <rFont val="Arial"/>
        <family val="2"/>
      </rPr>
      <t>ref</t>
    </r>
  </si>
  <si>
    <r>
      <t>R</t>
    </r>
    <r>
      <rPr>
        <b/>
        <i/>
        <vertAlign val="subscript"/>
        <sz val="10"/>
        <rFont val="Arial"/>
        <family val="2"/>
      </rPr>
      <t>ref</t>
    </r>
  </si>
  <si>
    <t>h</t>
  </si>
  <si>
    <r>
      <t>b</t>
    </r>
    <r>
      <rPr>
        <b/>
        <i/>
        <vertAlign val="subscript"/>
        <sz val="10"/>
        <rFont val="Arial"/>
        <family val="2"/>
      </rPr>
      <t>lin</t>
    </r>
  </si>
  <si>
    <r>
      <t>V</t>
    </r>
    <r>
      <rPr>
        <b/>
        <i/>
        <vertAlign val="subscript"/>
        <sz val="10"/>
        <rFont val="Arial"/>
        <family val="2"/>
      </rPr>
      <t>ref</t>
    </r>
  </si>
  <si>
    <r>
      <t>b</t>
    </r>
    <r>
      <rPr>
        <b/>
        <vertAlign val="subscript"/>
        <sz val="10"/>
        <rFont val="Arial"/>
        <family val="2"/>
      </rPr>
      <t>1</t>
    </r>
  </si>
  <si>
    <r>
      <t>b</t>
    </r>
    <r>
      <rPr>
        <b/>
        <vertAlign val="subscript"/>
        <sz val="10"/>
        <rFont val="Arial"/>
        <family val="2"/>
      </rPr>
      <t>2</t>
    </r>
  </si>
  <si>
    <r>
      <t>V</t>
    </r>
    <r>
      <rPr>
        <b/>
        <vertAlign val="subscript"/>
        <sz val="10"/>
        <rFont val="Arial"/>
        <family val="2"/>
      </rPr>
      <t>2</t>
    </r>
  </si>
  <si>
    <t>pga_low</t>
  </si>
  <si>
    <r>
      <t>t</t>
    </r>
    <r>
      <rPr>
        <b/>
        <i/>
        <vertAlign val="subscript"/>
        <sz val="10"/>
        <rFont val="Arial"/>
        <family val="2"/>
      </rPr>
      <t>U</t>
    </r>
  </si>
  <si>
    <r>
      <t>s</t>
    </r>
    <r>
      <rPr>
        <b/>
        <i/>
        <vertAlign val="subscript"/>
        <sz val="10"/>
        <rFont val="Arial"/>
        <family val="2"/>
      </rPr>
      <t>TU</t>
    </r>
  </si>
  <si>
    <r>
      <t>t</t>
    </r>
    <r>
      <rPr>
        <b/>
        <i/>
        <vertAlign val="subscript"/>
        <sz val="10"/>
        <rFont val="Arial"/>
        <family val="2"/>
      </rPr>
      <t>M</t>
    </r>
  </si>
  <si>
    <r>
      <t>s</t>
    </r>
    <r>
      <rPr>
        <b/>
        <i/>
        <vertAlign val="subscript"/>
        <sz val="10"/>
        <rFont val="Arial"/>
        <family val="2"/>
      </rPr>
      <t>TM</t>
    </r>
  </si>
  <si>
    <t>T (s)</t>
  </si>
  <si>
    <r>
      <t>R</t>
    </r>
    <r>
      <rPr>
        <b/>
        <vertAlign val="subscript"/>
        <sz val="10"/>
        <rFont val="Arial"/>
        <family val="2"/>
      </rPr>
      <t>JB</t>
    </r>
  </si>
  <si>
    <r>
      <t>V</t>
    </r>
    <r>
      <rPr>
        <b/>
        <vertAlign val="subscript"/>
        <sz val="10"/>
        <rFont val="Arial"/>
        <family val="2"/>
      </rPr>
      <t>S30</t>
    </r>
  </si>
  <si>
    <t>pga4nl</t>
  </si>
  <si>
    <t>U</t>
  </si>
  <si>
    <r>
      <t>b</t>
    </r>
    <r>
      <rPr>
        <b/>
        <vertAlign val="subscript"/>
        <sz val="10"/>
        <rFont val="Arial"/>
        <family val="2"/>
      </rPr>
      <t>nl</t>
    </r>
  </si>
  <si>
    <t xml:space="preserve">   U</t>
  </si>
  <si>
    <t>=  Unspecified-mechanism factor:  1 for unspecified; 0 otherwise</t>
  </si>
  <si>
    <t>=  Strike-slip-mechanism factor:  1 for strike slip; 0 otherwise</t>
  </si>
  <si>
    <t>=  Normal-mechanism factor:  1 for normal; 0 otherwise</t>
  </si>
  <si>
    <t>=  Reverse-mechanism factor:  1 for reverse; 0 otherwise</t>
  </si>
  <si>
    <r>
      <t xml:space="preserve">   R</t>
    </r>
    <r>
      <rPr>
        <b/>
        <vertAlign val="subscript"/>
        <sz val="10"/>
        <rFont val="Arial"/>
        <family val="2"/>
      </rPr>
      <t>JB</t>
    </r>
  </si>
  <si>
    <r>
      <t xml:space="preserve">   V</t>
    </r>
    <r>
      <rPr>
        <b/>
        <vertAlign val="subscript"/>
        <sz val="10"/>
        <rFont val="Arial"/>
        <family val="2"/>
      </rPr>
      <t>S30</t>
    </r>
  </si>
  <si>
    <t>SS</t>
  </si>
  <si>
    <t>NS</t>
  </si>
  <si>
    <t>RS</t>
  </si>
  <si>
    <t xml:space="preserve">   SS</t>
  </si>
  <si>
    <t xml:space="preserve">   NS</t>
  </si>
  <si>
    <t xml:space="preserve">   RS</t>
  </si>
  <si>
    <t>Calculated Variables</t>
  </si>
  <si>
    <t>CALCUATION OF GROUND MOTION FOR BOORE-ATKINSON NGA MODEL (FEB 2008, EARTHQUAKE SPECTRA, V. 24, P. 99-138):</t>
  </si>
  <si>
    <r>
      <t>t</t>
    </r>
    <r>
      <rPr>
        <b/>
        <i/>
        <vertAlign val="subscript"/>
        <sz val="12"/>
        <rFont val="Arial"/>
        <family val="2"/>
      </rPr>
      <t>U</t>
    </r>
  </si>
  <si>
    <r>
      <t>s</t>
    </r>
    <r>
      <rPr>
        <b/>
        <i/>
        <vertAlign val="subscript"/>
        <sz val="12"/>
        <rFont val="Arial"/>
        <family val="2"/>
      </rPr>
      <t>TU</t>
    </r>
  </si>
  <si>
    <t>CAMPBELL-BOZORGNIA NGA MODEL COEFFICIENTS (MAR 2008, EARTHQUAKE SPECTRA):</t>
  </si>
  <si>
    <r>
      <t>c</t>
    </r>
    <r>
      <rPr>
        <b/>
        <vertAlign val="subscript"/>
        <sz val="10"/>
        <rFont val="Arial"/>
        <family val="2"/>
      </rPr>
      <t>0</t>
    </r>
  </si>
  <si>
    <r>
      <t>c</t>
    </r>
    <r>
      <rPr>
        <b/>
        <vertAlign val="subscript"/>
        <sz val="10"/>
        <rFont val="Arial"/>
        <family val="2"/>
      </rPr>
      <t>5</t>
    </r>
  </si>
  <si>
    <r>
      <t>c</t>
    </r>
    <r>
      <rPr>
        <b/>
        <vertAlign val="subscript"/>
        <sz val="10"/>
        <rFont val="Arial"/>
        <family val="2"/>
      </rPr>
      <t>6</t>
    </r>
  </si>
  <si>
    <r>
      <t>c</t>
    </r>
    <r>
      <rPr>
        <b/>
        <vertAlign val="subscript"/>
        <sz val="10"/>
        <rFont val="Arial"/>
        <family val="2"/>
      </rPr>
      <t>7</t>
    </r>
  </si>
  <si>
    <r>
      <t>c</t>
    </r>
    <r>
      <rPr>
        <b/>
        <vertAlign val="subscript"/>
        <sz val="10"/>
        <rFont val="Arial"/>
        <family val="2"/>
      </rPr>
      <t>8</t>
    </r>
  </si>
  <si>
    <r>
      <t>c</t>
    </r>
    <r>
      <rPr>
        <b/>
        <vertAlign val="subscript"/>
        <sz val="10"/>
        <rFont val="Arial"/>
        <family val="2"/>
      </rPr>
      <t>9</t>
    </r>
  </si>
  <si>
    <r>
      <t>c</t>
    </r>
    <r>
      <rPr>
        <b/>
        <vertAlign val="subscript"/>
        <sz val="10"/>
        <rFont val="Arial"/>
        <family val="2"/>
      </rPr>
      <t>10</t>
    </r>
  </si>
  <si>
    <r>
      <t>c</t>
    </r>
    <r>
      <rPr>
        <b/>
        <vertAlign val="subscript"/>
        <sz val="10"/>
        <rFont val="Arial"/>
        <family val="2"/>
      </rPr>
      <t>11</t>
    </r>
  </si>
  <si>
    <r>
      <t>c</t>
    </r>
    <r>
      <rPr>
        <b/>
        <vertAlign val="subscript"/>
        <sz val="10"/>
        <rFont val="Arial"/>
        <family val="2"/>
      </rPr>
      <t>12</t>
    </r>
  </si>
  <si>
    <r>
      <t>k</t>
    </r>
    <r>
      <rPr>
        <b/>
        <vertAlign val="subscript"/>
        <sz val="10"/>
        <rFont val="Arial"/>
        <family val="2"/>
      </rPr>
      <t>1</t>
    </r>
  </si>
  <si>
    <r>
      <t>k</t>
    </r>
    <r>
      <rPr>
        <b/>
        <vertAlign val="subscript"/>
        <sz val="10"/>
        <rFont val="Arial"/>
        <family val="2"/>
      </rPr>
      <t>2</t>
    </r>
  </si>
  <si>
    <r>
      <t>k</t>
    </r>
    <r>
      <rPr>
        <b/>
        <vertAlign val="subscript"/>
        <sz val="10"/>
        <rFont val="Arial"/>
        <family val="2"/>
      </rPr>
      <t>3</t>
    </r>
  </si>
  <si>
    <r>
      <t>s</t>
    </r>
    <r>
      <rPr>
        <b/>
        <vertAlign val="subscript"/>
        <sz val="10"/>
        <rFont val="Arial"/>
        <family val="2"/>
      </rPr>
      <t>ln</t>
    </r>
    <r>
      <rPr>
        <b/>
        <i/>
        <vertAlign val="subscript"/>
        <sz val="10"/>
        <rFont val="Arial"/>
        <family val="2"/>
      </rPr>
      <t>Y</t>
    </r>
  </si>
  <si>
    <r>
      <t>t</t>
    </r>
    <r>
      <rPr>
        <b/>
        <vertAlign val="subscript"/>
        <sz val="10"/>
        <rFont val="Arial"/>
        <family val="2"/>
      </rPr>
      <t>ln</t>
    </r>
    <r>
      <rPr>
        <b/>
        <i/>
        <vertAlign val="subscript"/>
        <sz val="10"/>
        <rFont val="Arial"/>
        <family val="2"/>
      </rPr>
      <t>Y</t>
    </r>
  </si>
  <si>
    <r>
      <t>s</t>
    </r>
    <r>
      <rPr>
        <b/>
        <vertAlign val="subscript"/>
        <sz val="10"/>
        <rFont val="Arial"/>
        <family val="2"/>
      </rPr>
      <t>ln</t>
    </r>
    <r>
      <rPr>
        <b/>
        <i/>
        <vertAlign val="subscript"/>
        <sz val="10"/>
        <rFont val="Arial"/>
        <family val="2"/>
      </rPr>
      <t>AF</t>
    </r>
  </si>
  <si>
    <r>
      <t>s</t>
    </r>
    <r>
      <rPr>
        <b/>
        <i/>
        <vertAlign val="subscript"/>
        <sz val="10"/>
        <rFont val="Arial"/>
        <family val="2"/>
      </rPr>
      <t>C</t>
    </r>
  </si>
  <si>
    <t>r</t>
  </si>
  <si>
    <t>d</t>
  </si>
  <si>
    <r>
      <t>Z</t>
    </r>
    <r>
      <rPr>
        <b/>
        <vertAlign val="subscript"/>
        <sz val="10"/>
        <rFont val="Arial"/>
        <family val="2"/>
      </rPr>
      <t>2.5</t>
    </r>
  </si>
  <si>
    <r>
      <t>A</t>
    </r>
    <r>
      <rPr>
        <b/>
        <vertAlign val="subscript"/>
        <sz val="10"/>
        <rFont val="Arial"/>
        <family val="2"/>
      </rPr>
      <t>1100</t>
    </r>
  </si>
  <si>
    <t xml:space="preserve">   d</t>
  </si>
  <si>
    <t xml:space="preserve">   PGD</t>
  </si>
  <si>
    <t>=  Peak ground displacement (cm)</t>
  </si>
  <si>
    <t>=  Normal-faulting factor:  0 for strike slip, reverse, reverse-oblique and thrust; 1 for normal and normal-oblique</t>
  </si>
  <si>
    <t>=  Depth of 2.5 km/s shear-wave velocity horizon (km)</t>
  </si>
  <si>
    <t>PGD (cm)</t>
  </si>
  <si>
    <r>
      <t xml:space="preserve">   F</t>
    </r>
    <r>
      <rPr>
        <b/>
        <i/>
        <vertAlign val="subscript"/>
        <sz val="10"/>
        <rFont val="Arial"/>
        <family val="2"/>
      </rPr>
      <t>NM</t>
    </r>
  </si>
  <si>
    <r>
      <t xml:space="preserve">   V</t>
    </r>
    <r>
      <rPr>
        <b/>
        <i/>
        <vertAlign val="subscript"/>
        <sz val="10"/>
        <rFont val="Arial"/>
        <family val="2"/>
      </rPr>
      <t>S30</t>
    </r>
  </si>
  <si>
    <r>
      <t xml:space="preserve">   </t>
    </r>
    <r>
      <rPr>
        <b/>
        <i/>
        <sz val="10"/>
        <rFont val="Arial"/>
        <family val="2"/>
      </rPr>
      <t>A</t>
    </r>
    <r>
      <rPr>
        <b/>
        <vertAlign val="subscript"/>
        <sz val="10"/>
        <rFont val="Arial"/>
        <family val="2"/>
      </rPr>
      <t>1100</t>
    </r>
  </si>
  <si>
    <r>
      <t xml:space="preserve">   </t>
    </r>
    <r>
      <rPr>
        <b/>
        <i/>
        <sz val="10"/>
        <rFont val="Arial"/>
        <family val="2"/>
      </rPr>
      <t>Z</t>
    </r>
    <r>
      <rPr>
        <b/>
        <vertAlign val="subscript"/>
        <sz val="10"/>
        <rFont val="Arial"/>
        <family val="2"/>
      </rPr>
      <t>2.5</t>
    </r>
  </si>
  <si>
    <t>a</t>
  </si>
  <si>
    <r>
      <t>V</t>
    </r>
    <r>
      <rPr>
        <b/>
        <i/>
        <vertAlign val="subscript"/>
        <sz val="10"/>
        <rFont val="Arial"/>
        <family val="2"/>
      </rPr>
      <t>S</t>
    </r>
    <r>
      <rPr>
        <b/>
        <vertAlign val="subscript"/>
        <sz val="10"/>
        <rFont val="Arial"/>
        <family val="2"/>
      </rPr>
      <t>30</t>
    </r>
  </si>
  <si>
    <t>CALCUATION OF GROUND MOTION FOR CAMPBELL-BOZORGNIA NGA MODEL (MAR 2008, EARTHQUAKE SPECTRA):</t>
  </si>
  <si>
    <t>Geometric Mean and Arbitrary Horizontal Components</t>
  </si>
  <si>
    <r>
      <t>s</t>
    </r>
    <r>
      <rPr>
        <b/>
        <i/>
        <vertAlign val="subscript"/>
        <sz val="10"/>
        <rFont val="Arial"/>
        <family val="2"/>
      </rPr>
      <t>Arb</t>
    </r>
  </si>
  <si>
    <r>
      <t>s</t>
    </r>
    <r>
      <rPr>
        <b/>
        <i/>
        <vertAlign val="subscript"/>
        <sz val="12"/>
        <rFont val="Arial"/>
        <family val="2"/>
      </rPr>
      <t>C</t>
    </r>
  </si>
  <si>
    <t>CHIOU-YOUNGS NGA MODEL COEFFICIENTS (FEB 2008, EARTHQUAKE SPECTRA, V. 24, P. 173-215):</t>
  </si>
  <si>
    <r>
      <t>c</t>
    </r>
    <r>
      <rPr>
        <b/>
        <vertAlign val="subscript"/>
        <sz val="10"/>
        <rFont val="Arial"/>
        <family val="2"/>
      </rPr>
      <t>4a</t>
    </r>
  </si>
  <si>
    <r>
      <t>c</t>
    </r>
    <r>
      <rPr>
        <b/>
        <i/>
        <vertAlign val="subscript"/>
        <sz val="10"/>
        <rFont val="Arial"/>
        <family val="2"/>
      </rPr>
      <t>RB</t>
    </r>
  </si>
  <si>
    <r>
      <t>c</t>
    </r>
    <r>
      <rPr>
        <b/>
        <i/>
        <vertAlign val="subscript"/>
        <sz val="10"/>
        <rFont val="Arial"/>
        <family val="2"/>
      </rPr>
      <t>HM</t>
    </r>
  </si>
  <si>
    <r>
      <t>c</t>
    </r>
    <r>
      <rPr>
        <b/>
        <i/>
        <sz val="10"/>
        <rFont val="Symbol"/>
        <family val="1"/>
        <charset val="2"/>
      </rPr>
      <t>g</t>
    </r>
    <r>
      <rPr>
        <b/>
        <vertAlign val="subscript"/>
        <sz val="10"/>
        <rFont val="Arial"/>
        <family val="2"/>
      </rPr>
      <t>3</t>
    </r>
  </si>
  <si>
    <r>
      <t>c</t>
    </r>
    <r>
      <rPr>
        <b/>
        <vertAlign val="subscript"/>
        <sz val="10"/>
        <rFont val="Arial"/>
        <family val="2"/>
      </rPr>
      <t>1</t>
    </r>
    <r>
      <rPr>
        <b/>
        <i/>
        <vertAlign val="subscript"/>
        <sz val="10"/>
        <rFont val="Arial"/>
        <family val="2"/>
      </rPr>
      <t>a</t>
    </r>
  </si>
  <si>
    <r>
      <t>c</t>
    </r>
    <r>
      <rPr>
        <b/>
        <vertAlign val="subscript"/>
        <sz val="10"/>
        <rFont val="Arial"/>
        <family val="2"/>
      </rPr>
      <t>1</t>
    </r>
    <r>
      <rPr>
        <b/>
        <i/>
        <vertAlign val="subscript"/>
        <sz val="10"/>
        <rFont val="Arial"/>
        <family val="2"/>
      </rPr>
      <t>b</t>
    </r>
  </si>
  <si>
    <r>
      <t>c</t>
    </r>
    <r>
      <rPr>
        <b/>
        <i/>
        <vertAlign val="subscript"/>
        <sz val="10"/>
        <rFont val="Arial"/>
        <family val="2"/>
      </rPr>
      <t>n</t>
    </r>
  </si>
  <si>
    <r>
      <t>c</t>
    </r>
    <r>
      <rPr>
        <b/>
        <i/>
        <vertAlign val="subscript"/>
        <sz val="10"/>
        <rFont val="Arial"/>
        <family val="2"/>
      </rPr>
      <t>M</t>
    </r>
  </si>
  <si>
    <r>
      <t>c</t>
    </r>
    <r>
      <rPr>
        <b/>
        <vertAlign val="subscript"/>
        <sz val="10"/>
        <rFont val="Arial"/>
        <family val="2"/>
      </rPr>
      <t>7</t>
    </r>
    <r>
      <rPr>
        <b/>
        <i/>
        <vertAlign val="subscript"/>
        <sz val="10"/>
        <rFont val="Arial"/>
        <family val="2"/>
      </rPr>
      <t>a</t>
    </r>
  </si>
  <si>
    <r>
      <t>c</t>
    </r>
    <r>
      <rPr>
        <b/>
        <vertAlign val="subscript"/>
        <sz val="10"/>
        <rFont val="Arial"/>
        <family val="2"/>
      </rPr>
      <t>9</t>
    </r>
    <r>
      <rPr>
        <b/>
        <i/>
        <vertAlign val="subscript"/>
        <sz val="10"/>
        <rFont val="Arial"/>
        <family val="2"/>
      </rPr>
      <t>a</t>
    </r>
  </si>
  <si>
    <r>
      <t>c</t>
    </r>
    <r>
      <rPr>
        <b/>
        <i/>
        <vertAlign val="subscript"/>
        <sz val="10"/>
        <rFont val="Symbol"/>
        <family val="1"/>
        <charset val="2"/>
      </rPr>
      <t>g</t>
    </r>
    <r>
      <rPr>
        <b/>
        <vertAlign val="subscript"/>
        <sz val="10"/>
        <rFont val="Arial"/>
        <family val="2"/>
      </rPr>
      <t>1</t>
    </r>
  </si>
  <si>
    <r>
      <t>c</t>
    </r>
    <r>
      <rPr>
        <b/>
        <i/>
        <vertAlign val="subscript"/>
        <sz val="10"/>
        <rFont val="Symbol"/>
        <family val="1"/>
        <charset val="2"/>
      </rPr>
      <t>g</t>
    </r>
    <r>
      <rPr>
        <b/>
        <vertAlign val="subscript"/>
        <sz val="10"/>
        <rFont val="Arial"/>
        <family val="2"/>
      </rPr>
      <t>2</t>
    </r>
  </si>
  <si>
    <r>
      <t>f</t>
    </r>
    <r>
      <rPr>
        <b/>
        <vertAlign val="subscript"/>
        <sz val="10"/>
        <rFont val="Arial"/>
        <family val="2"/>
      </rPr>
      <t>1</t>
    </r>
  </si>
  <si>
    <r>
      <t>f</t>
    </r>
    <r>
      <rPr>
        <b/>
        <vertAlign val="subscript"/>
        <sz val="10"/>
        <rFont val="Arial"/>
        <family val="2"/>
      </rPr>
      <t>2</t>
    </r>
  </si>
  <si>
    <r>
      <t>f</t>
    </r>
    <r>
      <rPr>
        <b/>
        <vertAlign val="subscript"/>
        <sz val="10"/>
        <rFont val="Arial"/>
        <family val="2"/>
      </rPr>
      <t>3</t>
    </r>
  </si>
  <si>
    <r>
      <t>f</t>
    </r>
    <r>
      <rPr>
        <b/>
        <vertAlign val="subscript"/>
        <sz val="10"/>
        <rFont val="Arial"/>
        <family val="2"/>
      </rPr>
      <t>4</t>
    </r>
  </si>
  <si>
    <r>
      <t>f</t>
    </r>
    <r>
      <rPr>
        <b/>
        <vertAlign val="subscript"/>
        <sz val="10"/>
        <rFont val="Arial"/>
        <family val="2"/>
      </rPr>
      <t>5</t>
    </r>
  </si>
  <si>
    <r>
      <t>f</t>
    </r>
    <r>
      <rPr>
        <b/>
        <vertAlign val="subscript"/>
        <sz val="10"/>
        <rFont val="Arial"/>
        <family val="2"/>
      </rPr>
      <t>6</t>
    </r>
  </si>
  <si>
    <r>
      <t>f</t>
    </r>
    <r>
      <rPr>
        <b/>
        <vertAlign val="subscript"/>
        <sz val="10"/>
        <rFont val="Arial"/>
        <family val="2"/>
      </rPr>
      <t>7</t>
    </r>
  </si>
  <si>
    <r>
      <t>f</t>
    </r>
    <r>
      <rPr>
        <b/>
        <vertAlign val="subscript"/>
        <sz val="10"/>
        <rFont val="Arial"/>
        <family val="2"/>
      </rPr>
      <t>8</t>
    </r>
  </si>
  <si>
    <r>
      <t>t</t>
    </r>
    <r>
      <rPr>
        <b/>
        <vertAlign val="subscript"/>
        <sz val="10"/>
        <rFont val="Arial"/>
        <family val="2"/>
      </rPr>
      <t>1</t>
    </r>
  </si>
  <si>
    <r>
      <t>t</t>
    </r>
    <r>
      <rPr>
        <b/>
        <vertAlign val="subscript"/>
        <sz val="10"/>
        <rFont val="Arial"/>
        <family val="2"/>
      </rPr>
      <t>2</t>
    </r>
  </si>
  <si>
    <t>AS</t>
  </si>
  <si>
    <r>
      <t>PSA</t>
    </r>
    <r>
      <rPr>
        <b/>
        <i/>
        <vertAlign val="subscript"/>
        <sz val="10"/>
        <rFont val="Arial"/>
        <family val="2"/>
      </rPr>
      <t>ref</t>
    </r>
  </si>
  <si>
    <r>
      <t xml:space="preserve">   PSA</t>
    </r>
    <r>
      <rPr>
        <b/>
        <i/>
        <vertAlign val="subscript"/>
        <sz val="10"/>
        <rFont val="Arial"/>
        <family val="2"/>
      </rPr>
      <t>ref</t>
    </r>
  </si>
  <si>
    <r>
      <t>F</t>
    </r>
    <r>
      <rPr>
        <b/>
        <i/>
        <vertAlign val="subscript"/>
        <sz val="10"/>
        <rFont val="Arial"/>
        <family val="2"/>
      </rPr>
      <t>Inferred</t>
    </r>
  </si>
  <si>
    <t>=  PSA on rock with Vs30 = 1130 m/s (g)</t>
  </si>
  <si>
    <r>
      <t xml:space="preserve">   F</t>
    </r>
    <r>
      <rPr>
        <b/>
        <i/>
        <vertAlign val="subscript"/>
        <sz val="10"/>
        <rFont val="Arial"/>
        <family val="2"/>
      </rPr>
      <t>Inferred</t>
    </r>
  </si>
  <si>
    <t>=  Vs30 Factor:  0 if VS30 is measured, 1 if Vs30 is inferred</t>
  </si>
  <si>
    <t>CALCUATION OF GROUND MOTION FOR CHIOU-YOUNGS NGA MODEL (FEB 2008, EARTHQUAKE SPECTRA, V. 24, P. 173-215):</t>
  </si>
  <si>
    <r>
      <t>s</t>
    </r>
    <r>
      <rPr>
        <b/>
        <i/>
        <vertAlign val="subscript"/>
        <sz val="12"/>
        <rFont val="Arial"/>
        <family val="2"/>
      </rPr>
      <t>NL0</t>
    </r>
  </si>
  <si>
    <t>AS08</t>
  </si>
  <si>
    <t>BA08</t>
  </si>
  <si>
    <t>CB08</t>
  </si>
  <si>
    <t>CY08</t>
  </si>
  <si>
    <t>SA Median</t>
  </si>
  <si>
    <t>SD Median</t>
  </si>
  <si>
    <t>SD (cm)</t>
  </si>
  <si>
    <t xml:space="preserve">   SD</t>
  </si>
  <si>
    <t>=  Relative displacement response spectrum (cm; 5% damping)</t>
  </si>
  <si>
    <r>
      <t xml:space="preserve">  F</t>
    </r>
    <r>
      <rPr>
        <b/>
        <i/>
        <vertAlign val="subscript"/>
        <sz val="10"/>
        <rFont val="Arial"/>
        <family val="2"/>
      </rPr>
      <t>AS</t>
    </r>
  </si>
  <si>
    <t>=  Unspecified-mechanism factor:  1 for unspecified; 0 otherwise, used in BA08</t>
  </si>
  <si>
    <t>=  Hanging-wall factor:  1 for site on down-dip side of top of rupture; 0 otherwise, used in AS08 and CY08</t>
  </si>
  <si>
    <t>=  Depth to top of coseismic rupture (km), used in AS08, CB08 and CY08</t>
  </si>
  <si>
    <t>=  Average dip of rupture plane (degrees), used in AS08, CB08 and CY08</t>
  </si>
  <si>
    <t>=  Vs30 Factor:  1 if VS30 is measured, 0 if Vs30 is inferred, used in AS08 and CY08</t>
  </si>
  <si>
    <t>=  Fault rupture width (km), used in AS08</t>
  </si>
  <si>
    <t>=  Aftershock factor:  0 for mainshock; 1 for aftershock, used in AS08 and CY08</t>
  </si>
  <si>
    <t>NGA Model:</t>
  </si>
  <si>
    <t>Weight:</t>
  </si>
  <si>
    <t>CALCULATION OF WEIGHTED AVERAGE 2008 NGA MODELS:</t>
  </si>
  <si>
    <t>IDRISS NGA MODEL COEFFICIENTS (FEB 2008, EARTHQUAKE SPECTRA, V. 24, P. 217-242):</t>
  </si>
  <si>
    <r>
      <rPr>
        <b/>
        <sz val="10"/>
        <rFont val="Arial"/>
        <family val="2"/>
      </rPr>
      <t>α</t>
    </r>
    <r>
      <rPr>
        <b/>
        <i/>
        <sz val="10"/>
        <rFont val="Arial"/>
        <family val="2"/>
      </rPr>
      <t>1</t>
    </r>
  </si>
  <si>
    <r>
      <rPr>
        <b/>
        <sz val="10"/>
        <rFont val="Arial"/>
        <family val="2"/>
      </rPr>
      <t>α</t>
    </r>
    <r>
      <rPr>
        <b/>
        <i/>
        <sz val="10"/>
        <rFont val="Arial"/>
        <family val="2"/>
      </rPr>
      <t>2</t>
    </r>
  </si>
  <si>
    <r>
      <rPr>
        <b/>
        <sz val="10"/>
        <rFont val="Arial"/>
        <family val="2"/>
      </rPr>
      <t>β</t>
    </r>
    <r>
      <rPr>
        <b/>
        <i/>
        <sz val="10"/>
        <rFont val="Arial"/>
        <family val="2"/>
      </rPr>
      <t>1</t>
    </r>
  </si>
  <si>
    <r>
      <rPr>
        <b/>
        <sz val="10"/>
        <rFont val="Arial"/>
        <family val="2"/>
      </rPr>
      <t>β</t>
    </r>
    <r>
      <rPr>
        <b/>
        <i/>
        <sz val="10"/>
        <rFont val="Arial"/>
        <family val="2"/>
      </rPr>
      <t>2</t>
    </r>
  </si>
  <si>
    <t>γ</t>
  </si>
  <si>
    <t>φ</t>
  </si>
  <si>
    <t>CALCUATION OF GROUND MOTION FOR IDRISS NGA MODEL (FEB 2008, EARTHQUAKE SPECTRA, V. 24, P. 217-242):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</si>
  <si>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α</t>
    </r>
    <r>
      <rPr>
        <b/>
        <i/>
        <sz val="10"/>
        <rFont val="Arial"/>
        <family val="2"/>
      </rPr>
      <t>1</t>
    </r>
  </si>
  <si>
    <t>F</t>
  </si>
  <si>
    <t>M &lt;= 6.75</t>
  </si>
  <si>
    <t>M &gt; 6.75</t>
  </si>
  <si>
    <t>SE</t>
  </si>
  <si>
    <r>
      <t>Min V</t>
    </r>
    <r>
      <rPr>
        <b/>
        <i/>
        <vertAlign val="subscript"/>
        <sz val="10"/>
        <rFont val="Arial"/>
        <family val="2"/>
      </rPr>
      <t>S30</t>
    </r>
    <r>
      <rPr>
        <b/>
        <i/>
        <sz val="10"/>
        <rFont val="Arial"/>
        <family val="2"/>
      </rPr>
      <t xml:space="preserve"> </t>
    </r>
  </si>
  <si>
    <t xml:space="preserve">   F</t>
  </si>
  <si>
    <t>=  Source mechanism factor: 1 for reverse events, 0 otherwise</t>
  </si>
  <si>
    <r>
      <t xml:space="preserve">  Min V</t>
    </r>
    <r>
      <rPr>
        <b/>
        <i/>
        <vertAlign val="subscript"/>
        <sz val="10"/>
        <rFont val="Arial"/>
        <family val="2"/>
      </rPr>
      <t>S</t>
    </r>
    <r>
      <rPr>
        <b/>
        <vertAlign val="subscript"/>
        <sz val="10"/>
        <rFont val="Arial"/>
        <family val="2"/>
      </rPr>
      <t>30</t>
    </r>
  </si>
  <si>
    <t>= Idriss' model applies for Vs30 greater or equal to 450 m/sec</t>
  </si>
  <si>
    <t>I08</t>
  </si>
  <si>
    <t>Courtesy of Bob Youngs</t>
  </si>
  <si>
    <t>=  Closest distance to coseismic rupture (km), used in AS08, CB08 and CY08. See Figures a, b and c for illustation</t>
  </si>
  <si>
    <t>=  Closest distance to surface projection of coseismic rupture (km). See Figures a, b and c for illustation</t>
  </si>
  <si>
    <t>=  Horizontal distance from top of rupture measured perpendicular to fault strike (km), used in AS08 and CY08. See Figures a, b and c for illustation</t>
  </si>
  <si>
    <t>Figures (a), (b) and (c): Definition of Fault Geometry and Distance Measures</t>
  </si>
  <si>
    <r>
      <t>R</t>
    </r>
    <r>
      <rPr>
        <b/>
        <i/>
        <vertAlign val="subscript"/>
        <sz val="11"/>
        <rFont val="Arial"/>
        <family val="2"/>
      </rPr>
      <t>RUP</t>
    </r>
  </si>
  <si>
    <r>
      <t>R</t>
    </r>
    <r>
      <rPr>
        <b/>
        <i/>
        <vertAlign val="subscript"/>
        <sz val="11"/>
        <rFont val="Arial"/>
        <family val="2"/>
      </rPr>
      <t>JB</t>
    </r>
  </si>
  <si>
    <r>
      <t>R</t>
    </r>
    <r>
      <rPr>
        <b/>
        <i/>
        <vertAlign val="subscript"/>
        <sz val="11"/>
        <rFont val="Arial"/>
        <family val="2"/>
      </rPr>
      <t>X</t>
    </r>
  </si>
  <si>
    <r>
      <t>F</t>
    </r>
    <r>
      <rPr>
        <b/>
        <i/>
        <vertAlign val="subscript"/>
        <sz val="11"/>
        <rFont val="Arial"/>
        <family val="2"/>
      </rPr>
      <t>RV</t>
    </r>
  </si>
  <si>
    <r>
      <t>F</t>
    </r>
    <r>
      <rPr>
        <b/>
        <i/>
        <vertAlign val="subscript"/>
        <sz val="11"/>
        <rFont val="Arial"/>
        <family val="2"/>
      </rPr>
      <t>NM</t>
    </r>
  </si>
  <si>
    <r>
      <t>F</t>
    </r>
    <r>
      <rPr>
        <b/>
        <i/>
        <vertAlign val="subscript"/>
        <sz val="11"/>
        <rFont val="Arial"/>
        <family val="2"/>
      </rPr>
      <t>HW</t>
    </r>
  </si>
  <si>
    <r>
      <t>Z</t>
    </r>
    <r>
      <rPr>
        <b/>
        <i/>
        <vertAlign val="subscript"/>
        <sz val="11"/>
        <rFont val="Arial"/>
        <family val="2"/>
      </rPr>
      <t>TOR</t>
    </r>
  </si>
  <si>
    <r>
      <t>V</t>
    </r>
    <r>
      <rPr>
        <b/>
        <i/>
        <vertAlign val="subscript"/>
        <sz val="11"/>
        <rFont val="Arial"/>
        <family val="2"/>
      </rPr>
      <t>S30</t>
    </r>
  </si>
  <si>
    <r>
      <t>F</t>
    </r>
    <r>
      <rPr>
        <b/>
        <i/>
        <vertAlign val="subscript"/>
        <sz val="11"/>
        <rFont val="Arial"/>
        <family val="2"/>
      </rPr>
      <t>Measured</t>
    </r>
  </si>
  <si>
    <r>
      <t>Z</t>
    </r>
    <r>
      <rPr>
        <b/>
        <i/>
        <vertAlign val="subscript"/>
        <sz val="11"/>
        <rFont val="Arial"/>
        <family val="2"/>
      </rPr>
      <t>1.0</t>
    </r>
  </si>
  <si>
    <r>
      <t>Z</t>
    </r>
    <r>
      <rPr>
        <b/>
        <vertAlign val="subscript"/>
        <sz val="11"/>
        <rFont val="Arial"/>
        <family val="2"/>
      </rPr>
      <t>2.5</t>
    </r>
  </si>
  <si>
    <r>
      <t>F</t>
    </r>
    <r>
      <rPr>
        <b/>
        <i/>
        <vertAlign val="subscript"/>
        <sz val="11"/>
        <rFont val="Arial"/>
        <family val="2"/>
      </rPr>
      <t>AS</t>
    </r>
  </si>
  <si>
    <t>=  Number of standard deviations to be considered in the calculations</t>
  </si>
  <si>
    <t>N</t>
  </si>
  <si>
    <r>
      <t>SA Median + N.</t>
    </r>
    <r>
      <rPr>
        <b/>
        <sz val="10"/>
        <rFont val="Arial"/>
        <family val="2"/>
      </rPr>
      <t>σ</t>
    </r>
  </si>
  <si>
    <r>
      <t>SA Median - N.</t>
    </r>
    <r>
      <rPr>
        <b/>
        <sz val="10"/>
        <rFont val="Arial"/>
        <family val="2"/>
      </rPr>
      <t>σ</t>
    </r>
  </si>
  <si>
    <t>This Excel file calculates the weighted average of the natural logarithm of the spectral values from the NGA models</t>
  </si>
  <si>
    <t>=  Depth to 1.0 km/sec velocity horizon (m), used in AS08 and CY08. Enter "DEFAULT" in order to use the default values or enter your</t>
  </si>
  <si>
    <t xml:space="preserve"> site specific number</t>
  </si>
  <si>
    <t>=  Depth of 2.5 km/s shear-wave velocity horizon (km), used in CB08. Enter "DEFAULT" in order to use the default value or enter your</t>
  </si>
  <si>
    <t>DEFAULT</t>
  </si>
  <si>
    <t>AS08: Abrahamson &amp; Silva 2008 NGA Model</t>
  </si>
  <si>
    <t>BA08: Boore &amp; Atkinson 2008 NGA Model</t>
  </si>
  <si>
    <t>CB08: Campbell &amp; Bozorgnia 2008 NGA Model</t>
  </si>
  <si>
    <t>CY08: Chiou &amp; Youngs 2008 NGA Model</t>
  </si>
  <si>
    <t>I08: Idriss 2008 NGA Model</t>
  </si>
  <si>
    <t>HW Taper</t>
  </si>
  <si>
    <t>= To choose the hanging wall taper to be used in AS08. Enter 0 to use the hanging wall taper as published in Abrahamson and Silva (2008),</t>
  </si>
  <si>
    <t xml:space="preserve"> or enter 1 to use the revised hanging wall taper suggested by Norm Abrahamson</t>
  </si>
  <si>
    <t xml:space="preserve">To choose the hanging wall taper to be used in AS08. </t>
  </si>
  <si>
    <t>Enter 0 to use the hanging wall taper as published in Abrahamson and Silva (2008) or enter 1 to use the revised hanging wall taper suggested by Norm Abrahamson</t>
  </si>
</sst>
</file>

<file path=xl/styles.xml><?xml version="1.0" encoding="utf-8"?>
<styleSheet xmlns="http://schemas.openxmlformats.org/spreadsheetml/2006/main">
  <numFmts count="6">
    <numFmt numFmtId="172" formatCode="0.000"/>
    <numFmt numFmtId="173" formatCode="0.0"/>
    <numFmt numFmtId="174" formatCode="0.0000"/>
    <numFmt numFmtId="175" formatCode="0.000000"/>
    <numFmt numFmtId="177" formatCode="0.00000"/>
    <numFmt numFmtId="179" formatCode="0.000E+00"/>
  </numFmts>
  <fonts count="3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i/>
      <vertAlign val="subscript"/>
      <sz val="10"/>
      <name val="Arial"/>
      <family val="2"/>
    </font>
    <font>
      <b/>
      <i/>
      <sz val="10"/>
      <name val="Symbol"/>
      <family val="1"/>
      <charset val="2"/>
    </font>
    <font>
      <b/>
      <i/>
      <vertAlign val="subscript"/>
      <sz val="10"/>
      <name val="Symbol"/>
      <family val="1"/>
      <charset val="2"/>
    </font>
    <font>
      <b/>
      <vertAlign val="subscript"/>
      <sz val="10"/>
      <name val="Symbol"/>
      <family val="1"/>
      <charset val="2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Symbol"/>
      <family val="1"/>
      <charset val="2"/>
    </font>
    <font>
      <b/>
      <i/>
      <sz val="12"/>
      <name val="Symbol"/>
      <family val="1"/>
      <charset val="2"/>
    </font>
    <font>
      <b/>
      <sz val="10"/>
      <name val="MS Sans Serif"/>
      <family val="2"/>
    </font>
    <font>
      <b/>
      <i/>
      <sz val="10"/>
      <name val="Arial"/>
      <family val="2"/>
    </font>
    <font>
      <b/>
      <i/>
      <vertAlign val="subscript"/>
      <sz val="12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Calibri"/>
      <family val="2"/>
    </font>
    <font>
      <b/>
      <i/>
      <vertAlign val="subscript"/>
      <sz val="11"/>
      <name val="Arial"/>
      <family val="2"/>
    </font>
    <font>
      <b/>
      <i/>
      <sz val="11"/>
      <name val="Symbol"/>
      <family val="1"/>
      <charset val="2"/>
    </font>
    <font>
      <b/>
      <vertAlign val="subscript"/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left"/>
    </xf>
    <xf numFmtId="17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4" fontId="3" fillId="0" borderId="0" xfId="0" applyNumberFormat="1" applyFont="1" applyAlignment="1">
      <alignment horizontal="center"/>
    </xf>
    <xf numFmtId="175" fontId="3" fillId="0" borderId="0" xfId="0" applyNumberFormat="1" applyFont="1" applyAlignment="1">
      <alignment horizontal="center"/>
    </xf>
    <xf numFmtId="175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3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horizontal="center"/>
    </xf>
    <xf numFmtId="9" fontId="3" fillId="0" borderId="0" xfId="0" applyNumberFormat="1" applyFont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4" fontId="10" fillId="0" borderId="0" xfId="0" applyNumberFormat="1" applyFont="1" applyAlignment="1">
      <alignment horizontal="center"/>
    </xf>
    <xf numFmtId="17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173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/>
    <xf numFmtId="1" fontId="10" fillId="0" borderId="0" xfId="0" applyNumberFormat="1" applyFont="1" applyAlignment="1">
      <alignment horizontal="center"/>
    </xf>
    <xf numFmtId="0" fontId="14" fillId="0" borderId="0" xfId="0" applyFont="1"/>
    <xf numFmtId="49" fontId="4" fillId="0" borderId="0" xfId="0" applyNumberFormat="1" applyFont="1"/>
    <xf numFmtId="0" fontId="11" fillId="0" borderId="0" xfId="0" applyFont="1" applyAlignment="1">
      <alignment horizontal="left"/>
    </xf>
    <xf numFmtId="49" fontId="15" fillId="0" borderId="0" xfId="0" applyNumberFormat="1" applyFont="1"/>
    <xf numFmtId="49" fontId="13" fillId="0" borderId="0" xfId="0" applyNumberFormat="1" applyFont="1"/>
    <xf numFmtId="49" fontId="3" fillId="0" borderId="0" xfId="0" applyNumberFormat="1" applyFont="1"/>
    <xf numFmtId="0" fontId="7" fillId="0" borderId="0" xfId="0" applyFont="1" applyAlignment="1">
      <alignment horizontal="center"/>
    </xf>
    <xf numFmtId="17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172" fontId="10" fillId="0" borderId="0" xfId="0" applyNumberFormat="1" applyFont="1" applyAlignment="1">
      <alignment horizontal="center"/>
    </xf>
    <xf numFmtId="175" fontId="0" fillId="0" borderId="0" xfId="0" applyNumberForma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9" fillId="0" borderId="0" xfId="0" applyFont="1"/>
    <xf numFmtId="0" fontId="0" fillId="0" borderId="0" xfId="0" applyAlignment="1"/>
    <xf numFmtId="0" fontId="17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0" fontId="10" fillId="2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7" fontId="0" fillId="0" borderId="0" xfId="0" applyNumberFormat="1" applyFill="1" applyAlignment="1">
      <alignment horizontal="center"/>
    </xf>
    <xf numFmtId="177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20" fillId="3" borderId="8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172" fontId="2" fillId="0" borderId="0" xfId="0" applyNumberFormat="1" applyFont="1" applyFill="1" applyAlignment="1">
      <alignment horizontal="center"/>
    </xf>
    <xf numFmtId="179" fontId="10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79" fontId="0" fillId="0" borderId="0" xfId="0" applyNumberFormat="1" applyFill="1" applyAlignment="1">
      <alignment horizontal="center"/>
    </xf>
    <xf numFmtId="179" fontId="0" fillId="0" borderId="0" xfId="0" applyNumberFormat="1"/>
    <xf numFmtId="0" fontId="23" fillId="0" borderId="0" xfId="0" applyFont="1" applyAlignment="1">
      <alignment horizontal="left"/>
    </xf>
    <xf numFmtId="2" fontId="10" fillId="0" borderId="0" xfId="0" applyNumberFormat="1" applyFont="1" applyFill="1" applyAlignment="1">
      <alignment horizontal="center"/>
    </xf>
    <xf numFmtId="174" fontId="0" fillId="0" borderId="0" xfId="0" applyNumberFormat="1" applyFill="1" applyAlignment="1">
      <alignment horizontal="center"/>
    </xf>
    <xf numFmtId="0" fontId="24" fillId="0" borderId="0" xfId="0" applyFont="1"/>
    <xf numFmtId="0" fontId="20" fillId="3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49" fontId="26" fillId="2" borderId="3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18" fillId="0" borderId="0" xfId="0" applyFont="1" applyAlignment="1"/>
    <xf numFmtId="0" fontId="28" fillId="0" borderId="0" xfId="0" applyFont="1" applyAlignment="1"/>
    <xf numFmtId="179" fontId="2" fillId="0" borderId="0" xfId="0" applyNumberFormat="1" applyFont="1" applyAlignment="1">
      <alignment horizontal="left"/>
    </xf>
    <xf numFmtId="0" fontId="29" fillId="0" borderId="0" xfId="0" applyNumberFormat="1" applyFont="1" applyAlignment="1">
      <alignment horizontal="left"/>
    </xf>
    <xf numFmtId="1" fontId="10" fillId="3" borderId="3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5%-Damped Pseudo-Absolute Acceleration Response Spectrum</a:t>
            </a:r>
          </a:p>
        </c:rich>
      </c:tx>
      <c:layout>
        <c:manualLayout>
          <c:xMode val="edge"/>
          <c:yMode val="edge"/>
          <c:x val="0.16919833839667678"/>
          <c:y val="2.15982721382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391304347826086"/>
          <c:y val="9.2872796947897698E-2"/>
          <c:w val="0.76659038901601828"/>
          <c:h val="0.73074222093728569"/>
        </c:manualLayout>
      </c:layout>
      <c:scatterChart>
        <c:scatterStyle val="lineMarker"/>
        <c:ser>
          <c:idx val="0"/>
          <c:order val="0"/>
          <c:tx>
            <c:v>Median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Main!$D$13:$D$33</c:f>
              <c:numCache>
                <c:formatCode>0.000</c:formatCode>
                <c:ptCount val="21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7.4999999999999997E-2</c:v>
                </c:pt>
                <c:pt idx="5" formatCode="0.00">
                  <c:v>0.1</c:v>
                </c:pt>
                <c:pt idx="6" formatCode="0.00">
                  <c:v>0.15</c:v>
                </c:pt>
                <c:pt idx="7" formatCode="0.00">
                  <c:v>0.2</c:v>
                </c:pt>
                <c:pt idx="8" formatCode="0.00">
                  <c:v>0.25</c:v>
                </c:pt>
                <c:pt idx="9" formatCode="0.00">
                  <c:v>0.3</c:v>
                </c:pt>
                <c:pt idx="10" formatCode="0.00">
                  <c:v>0.4</c:v>
                </c:pt>
                <c:pt idx="11" formatCode="0.00">
                  <c:v>0.5</c:v>
                </c:pt>
                <c:pt idx="12" formatCode="0.00">
                  <c:v>0.75</c:v>
                </c:pt>
                <c:pt idx="13" formatCode="0.0">
                  <c:v>1</c:v>
                </c:pt>
                <c:pt idx="14" formatCode="0.0">
                  <c:v>1.5</c:v>
                </c:pt>
                <c:pt idx="15" formatCode="0.0">
                  <c:v>2</c:v>
                </c:pt>
                <c:pt idx="16" formatCode="0.0">
                  <c:v>3</c:v>
                </c:pt>
                <c:pt idx="17" formatCode="0.0">
                  <c:v>4</c:v>
                </c:pt>
                <c:pt idx="18" formatCode="0.0">
                  <c:v>5</c:v>
                </c:pt>
                <c:pt idx="19" formatCode="0.0">
                  <c:v>7.5</c:v>
                </c:pt>
                <c:pt idx="20" formatCode="0.0">
                  <c:v>10</c:v>
                </c:pt>
              </c:numCache>
            </c:numRef>
          </c:xVal>
          <c:yVal>
            <c:numRef>
              <c:f>Main!$E$13:$E$33</c:f>
              <c:numCache>
                <c:formatCode>0.000E+00</c:formatCode>
                <c:ptCount val="21"/>
                <c:pt idx="0">
                  <c:v>0.17029028771750668</c:v>
                </c:pt>
                <c:pt idx="1">
                  <c:v>0.17249896084810443</c:v>
                </c:pt>
                <c:pt idx="2">
                  <c:v>0.17977204246119741</c:v>
                </c:pt>
                <c:pt idx="3">
                  <c:v>0.19111978679367114</c:v>
                </c:pt>
                <c:pt idx="4">
                  <c:v>0.22215275769581533</c:v>
                </c:pt>
                <c:pt idx="5">
                  <c:v>0.26136853621096945</c:v>
                </c:pt>
                <c:pt idx="6">
                  <c:v>0.3381758868082409</c:v>
                </c:pt>
                <c:pt idx="7">
                  <c:v>0.38499086093347268</c:v>
                </c:pt>
                <c:pt idx="8">
                  <c:v>0.40271854206942748</c:v>
                </c:pt>
                <c:pt idx="9">
                  <c:v>0.38807572522151029</c:v>
                </c:pt>
                <c:pt idx="10">
                  <c:v>0.35234860994853406</c:v>
                </c:pt>
                <c:pt idx="11">
                  <c:v>0.31212983724060994</c:v>
                </c:pt>
                <c:pt idx="12">
                  <c:v>0.23384087926792949</c:v>
                </c:pt>
                <c:pt idx="13">
                  <c:v>0.18411881856914938</c:v>
                </c:pt>
                <c:pt idx="14">
                  <c:v>0.11994615463021777</c:v>
                </c:pt>
                <c:pt idx="15">
                  <c:v>8.6395089309919196E-2</c:v>
                </c:pt>
                <c:pt idx="16">
                  <c:v>5.3559438104815019E-2</c:v>
                </c:pt>
                <c:pt idx="17">
                  <c:v>3.7242181486673707E-2</c:v>
                </c:pt>
                <c:pt idx="18">
                  <c:v>2.8191033565289739E-2</c:v>
                </c:pt>
                <c:pt idx="19">
                  <c:v>1.6881933552004031E-2</c:v>
                </c:pt>
                <c:pt idx="20">
                  <c:v>1.1198422485104439E-2</c:v>
                </c:pt>
              </c:numCache>
            </c:numRef>
          </c:yVal>
          <c:smooth val="1"/>
        </c:ser>
        <c:ser>
          <c:idx val="1"/>
          <c:order val="1"/>
          <c:tx>
            <c:v>Median + N.σ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Main!$D$13:$D$33</c:f>
              <c:numCache>
                <c:formatCode>0.000</c:formatCode>
                <c:ptCount val="21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7.4999999999999997E-2</c:v>
                </c:pt>
                <c:pt idx="5" formatCode="0.00">
                  <c:v>0.1</c:v>
                </c:pt>
                <c:pt idx="6" formatCode="0.00">
                  <c:v>0.15</c:v>
                </c:pt>
                <c:pt idx="7" formatCode="0.00">
                  <c:v>0.2</c:v>
                </c:pt>
                <c:pt idx="8" formatCode="0.00">
                  <c:v>0.25</c:v>
                </c:pt>
                <c:pt idx="9" formatCode="0.00">
                  <c:v>0.3</c:v>
                </c:pt>
                <c:pt idx="10" formatCode="0.00">
                  <c:v>0.4</c:v>
                </c:pt>
                <c:pt idx="11" formatCode="0.00">
                  <c:v>0.5</c:v>
                </c:pt>
                <c:pt idx="12" formatCode="0.00">
                  <c:v>0.75</c:v>
                </c:pt>
                <c:pt idx="13" formatCode="0.0">
                  <c:v>1</c:v>
                </c:pt>
                <c:pt idx="14" formatCode="0.0">
                  <c:v>1.5</c:v>
                </c:pt>
                <c:pt idx="15" formatCode="0.0">
                  <c:v>2</c:v>
                </c:pt>
                <c:pt idx="16" formatCode="0.0">
                  <c:v>3</c:v>
                </c:pt>
                <c:pt idx="17" formatCode="0.0">
                  <c:v>4</c:v>
                </c:pt>
                <c:pt idx="18" formatCode="0.0">
                  <c:v>5</c:v>
                </c:pt>
                <c:pt idx="19" formatCode="0.0">
                  <c:v>7.5</c:v>
                </c:pt>
                <c:pt idx="20" formatCode="0.0">
                  <c:v>10</c:v>
                </c:pt>
              </c:numCache>
            </c:numRef>
          </c:xVal>
          <c:yVal>
            <c:numRef>
              <c:f>Main!$F$13:$F$33</c:f>
              <c:numCache>
                <c:formatCode>0.000E+00</c:formatCode>
                <c:ptCount val="21"/>
                <c:pt idx="0">
                  <c:v>0.29177637251467775</c:v>
                </c:pt>
                <c:pt idx="1">
                  <c:v>0.29552093896654646</c:v>
                </c:pt>
                <c:pt idx="2">
                  <c:v>0.31018069430723966</c:v>
                </c:pt>
                <c:pt idx="3">
                  <c:v>0.33121665852807181</c:v>
                </c:pt>
                <c:pt idx="4">
                  <c:v>0.38752724133748473</c:v>
                </c:pt>
                <c:pt idx="5">
                  <c:v>0.46000915898977468</c:v>
                </c:pt>
                <c:pt idx="6">
                  <c:v>0.60473599385544285</c:v>
                </c:pt>
                <c:pt idx="7">
                  <c:v>0.69755505244843075</c:v>
                </c:pt>
                <c:pt idx="8">
                  <c:v>0.73210769686616028</c:v>
                </c:pt>
                <c:pt idx="9">
                  <c:v>0.70784227042329306</c:v>
                </c:pt>
                <c:pt idx="10">
                  <c:v>0.64482314331522106</c:v>
                </c:pt>
                <c:pt idx="11">
                  <c:v>0.57360418357596521</c:v>
                </c:pt>
                <c:pt idx="12">
                  <c:v>0.43165515386796599</c:v>
                </c:pt>
                <c:pt idx="13">
                  <c:v>0.33980407238496735</c:v>
                </c:pt>
                <c:pt idx="14">
                  <c:v>0.22028352138061646</c:v>
                </c:pt>
                <c:pt idx="15">
                  <c:v>0.15789142603357076</c:v>
                </c:pt>
                <c:pt idx="16">
                  <c:v>9.8604787047390091E-2</c:v>
                </c:pt>
                <c:pt idx="17">
                  <c:v>6.884603679080796E-2</c:v>
                </c:pt>
                <c:pt idx="18">
                  <c:v>5.3160068573888525E-2</c:v>
                </c:pt>
                <c:pt idx="19">
                  <c:v>3.3208624667319157E-2</c:v>
                </c:pt>
                <c:pt idx="20">
                  <c:v>2.2664195621916686E-2</c:v>
                </c:pt>
              </c:numCache>
            </c:numRef>
          </c:yVal>
          <c:smooth val="1"/>
        </c:ser>
        <c:ser>
          <c:idx val="2"/>
          <c:order val="2"/>
          <c:tx>
            <c:v>Median - N.σ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Main!$D$13:$D$33</c:f>
              <c:numCache>
                <c:formatCode>0.000</c:formatCode>
                <c:ptCount val="21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7.4999999999999997E-2</c:v>
                </c:pt>
                <c:pt idx="5" formatCode="0.00">
                  <c:v>0.1</c:v>
                </c:pt>
                <c:pt idx="6" formatCode="0.00">
                  <c:v>0.15</c:v>
                </c:pt>
                <c:pt idx="7" formatCode="0.00">
                  <c:v>0.2</c:v>
                </c:pt>
                <c:pt idx="8" formatCode="0.00">
                  <c:v>0.25</c:v>
                </c:pt>
                <c:pt idx="9" formatCode="0.00">
                  <c:v>0.3</c:v>
                </c:pt>
                <c:pt idx="10" formatCode="0.00">
                  <c:v>0.4</c:v>
                </c:pt>
                <c:pt idx="11" formatCode="0.00">
                  <c:v>0.5</c:v>
                </c:pt>
                <c:pt idx="12" formatCode="0.00">
                  <c:v>0.75</c:v>
                </c:pt>
                <c:pt idx="13" formatCode="0.0">
                  <c:v>1</c:v>
                </c:pt>
                <c:pt idx="14" formatCode="0.0">
                  <c:v>1.5</c:v>
                </c:pt>
                <c:pt idx="15" formatCode="0.0">
                  <c:v>2</c:v>
                </c:pt>
                <c:pt idx="16" formatCode="0.0">
                  <c:v>3</c:v>
                </c:pt>
                <c:pt idx="17" formatCode="0.0">
                  <c:v>4</c:v>
                </c:pt>
                <c:pt idx="18" formatCode="0.0">
                  <c:v>5</c:v>
                </c:pt>
                <c:pt idx="19" formatCode="0.0">
                  <c:v>7.5</c:v>
                </c:pt>
                <c:pt idx="20" formatCode="0.0">
                  <c:v>10</c:v>
                </c:pt>
              </c:numCache>
            </c:numRef>
          </c:xVal>
          <c:yVal>
            <c:numRef>
              <c:f>Main!$G$13:$G$33</c:f>
              <c:numCache>
                <c:formatCode>0.000E+00</c:formatCode>
                <c:ptCount val="21"/>
                <c:pt idx="0">
                  <c:v>9.9387012872169514E-2</c:v>
                </c:pt>
                <c:pt idx="1">
                  <c:v>0.10068962151289147</c:v>
                </c:pt>
                <c:pt idx="2">
                  <c:v>0.10419084051265616</c:v>
                </c:pt>
                <c:pt idx="3">
                  <c:v>0.1102806032353066</c:v>
                </c:pt>
                <c:pt idx="4">
                  <c:v>0.1273506543218125</c:v>
                </c:pt>
                <c:pt idx="5">
                  <c:v>0.14850467732226905</c:v>
                </c:pt>
                <c:pt idx="6">
                  <c:v>0.18911216064621697</c:v>
                </c:pt>
                <c:pt idx="7">
                  <c:v>0.21248210084931474</c:v>
                </c:pt>
                <c:pt idx="8">
                  <c:v>0.22152782277902267</c:v>
                </c:pt>
                <c:pt idx="9">
                  <c:v>0.21276317450798748</c:v>
                </c:pt>
                <c:pt idx="10">
                  <c:v>0.19253270329966091</c:v>
                </c:pt>
                <c:pt idx="11">
                  <c:v>0.16984714910634399</c:v>
                </c:pt>
                <c:pt idx="12">
                  <c:v>0.1266787997937916</c:v>
                </c:pt>
                <c:pt idx="13">
                  <c:v>9.9762604707379757E-2</c:v>
                </c:pt>
                <c:pt idx="14">
                  <c:v>6.5311648916840326E-2</c:v>
                </c:pt>
                <c:pt idx="15">
                  <c:v>4.7273697149849664E-2</c:v>
                </c:pt>
                <c:pt idx="16">
                  <c:v>2.9092029869957906E-2</c:v>
                </c:pt>
                <c:pt idx="17">
                  <c:v>2.0146113655035051E-2</c:v>
                </c:pt>
                <c:pt idx="18">
                  <c:v>1.4949837251896528E-2</c:v>
                </c:pt>
                <c:pt idx="19">
                  <c:v>8.5820982744506634E-3</c:v>
                </c:pt>
                <c:pt idx="20">
                  <c:v>5.5331620079039608E-3</c:v>
                </c:pt>
              </c:numCache>
            </c:numRef>
          </c:yVal>
          <c:smooth val="1"/>
        </c:ser>
        <c:axId val="114943488"/>
        <c:axId val="114945408"/>
      </c:scatterChart>
      <c:valAx>
        <c:axId val="114943488"/>
        <c:scaling>
          <c:logBase val="10"/>
          <c:orientation val="minMax"/>
          <c:max val="10"/>
          <c:min val="0.0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Period (s)</a:t>
                </a:r>
              </a:p>
            </c:rich>
          </c:tx>
          <c:layout>
            <c:manualLayout>
              <c:xMode val="edge"/>
              <c:yMode val="edge"/>
              <c:x val="0.48283753900841131"/>
              <c:y val="0.8617719653293878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4945408"/>
        <c:crossesAt val="1E-3"/>
        <c:crossBetween val="midCat"/>
      </c:valAx>
      <c:valAx>
        <c:axId val="114945408"/>
        <c:scaling>
          <c:logBase val="10"/>
          <c:orientation val="minMax"/>
          <c:max val="10"/>
          <c:min val="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Spectral Acceleration)</a:t>
                </a:r>
              </a:p>
            </c:rich>
          </c:tx>
          <c:layout>
            <c:manualLayout>
              <c:xMode val="edge"/>
              <c:yMode val="edge"/>
              <c:x val="3.6613346560026454E-2"/>
              <c:y val="0.33477367164957511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4943488"/>
        <c:crossesAt val="1E-3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231115795564925"/>
          <c:y val="0.93736591781318912"/>
          <c:w val="0.56750573501147006"/>
          <c:h val="4.75161987041036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5%-Damped Pseudo-Absolute Acceleration Response Spectrum</a:t>
            </a:r>
          </a:p>
        </c:rich>
      </c:tx>
      <c:layout>
        <c:manualLayout>
          <c:xMode val="edge"/>
          <c:yMode val="edge"/>
          <c:x val="0.107421875"/>
          <c:y val="2.64900662251655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265625"/>
          <c:y val="0.15231788079470199"/>
          <c:w val="0.740234375"/>
          <c:h val="0.7377483443708609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'AS08'!$D$6:$D$27</c:f>
              <c:numCache>
                <c:formatCode>0.000</c:formatCode>
                <c:ptCount val="22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7.4999999999999997E-2</c:v>
                </c:pt>
                <c:pt idx="6" formatCode="0.00">
                  <c:v>0.1</c:v>
                </c:pt>
                <c:pt idx="7" formatCode="0.00">
                  <c:v>0.15</c:v>
                </c:pt>
                <c:pt idx="8" formatCode="0.00">
                  <c:v>0.2</c:v>
                </c:pt>
                <c:pt idx="9" formatCode="0.00">
                  <c:v>0.25</c:v>
                </c:pt>
                <c:pt idx="10" formatCode="0.00">
                  <c:v>0.3</c:v>
                </c:pt>
                <c:pt idx="11" formatCode="0.00">
                  <c:v>0.4</c:v>
                </c:pt>
                <c:pt idx="12" formatCode="0.00">
                  <c:v>0.5</c:v>
                </c:pt>
                <c:pt idx="13" formatCode="0.00">
                  <c:v>0.75</c:v>
                </c:pt>
                <c:pt idx="14" formatCode="0.0">
                  <c:v>1</c:v>
                </c:pt>
                <c:pt idx="15" formatCode="0.0">
                  <c:v>1.5</c:v>
                </c:pt>
                <c:pt idx="16" formatCode="0.0">
                  <c:v>2</c:v>
                </c:pt>
                <c:pt idx="17" formatCode="0.0">
                  <c:v>3</c:v>
                </c:pt>
                <c:pt idx="18" formatCode="0.0">
                  <c:v>4</c:v>
                </c:pt>
                <c:pt idx="19" formatCode="0.0">
                  <c:v>5</c:v>
                </c:pt>
                <c:pt idx="20" formatCode="0.0">
                  <c:v>7.5</c:v>
                </c:pt>
                <c:pt idx="21" formatCode="0.0">
                  <c:v>10</c:v>
                </c:pt>
              </c:numCache>
            </c:numRef>
          </c:xVal>
          <c:yVal>
            <c:numRef>
              <c:f>'AS08'!$K$6:$K$27</c:f>
              <c:numCache>
                <c:formatCode>0.000E+00</c:formatCode>
                <c:ptCount val="22"/>
                <c:pt idx="0">
                  <c:v>0.17029028771750671</c:v>
                </c:pt>
                <c:pt idx="1">
                  <c:v>0.17249896084810443</c:v>
                </c:pt>
                <c:pt idx="2">
                  <c:v>0.17977204246119741</c:v>
                </c:pt>
                <c:pt idx="3">
                  <c:v>0.18318153888661823</c:v>
                </c:pt>
                <c:pt idx="4">
                  <c:v>0.19111978679367114</c:v>
                </c:pt>
                <c:pt idx="5">
                  <c:v>0.2221527576958153</c:v>
                </c:pt>
                <c:pt idx="6">
                  <c:v>0.26136853621096945</c:v>
                </c:pt>
                <c:pt idx="7">
                  <c:v>0.3381758868082409</c:v>
                </c:pt>
                <c:pt idx="8">
                  <c:v>0.38499086093347268</c:v>
                </c:pt>
                <c:pt idx="9">
                  <c:v>0.40271854206942748</c:v>
                </c:pt>
                <c:pt idx="10">
                  <c:v>0.38807572522151029</c:v>
                </c:pt>
                <c:pt idx="11">
                  <c:v>0.35234860994853406</c:v>
                </c:pt>
                <c:pt idx="12">
                  <c:v>0.31212983724060994</c:v>
                </c:pt>
                <c:pt idx="13">
                  <c:v>0.23384087926792949</c:v>
                </c:pt>
                <c:pt idx="14">
                  <c:v>0.18411881856914938</c:v>
                </c:pt>
                <c:pt idx="15">
                  <c:v>0.11994615463021778</c:v>
                </c:pt>
                <c:pt idx="16">
                  <c:v>8.6395089309919196E-2</c:v>
                </c:pt>
                <c:pt idx="17">
                  <c:v>5.3559438104815019E-2</c:v>
                </c:pt>
                <c:pt idx="18">
                  <c:v>3.7242181486673707E-2</c:v>
                </c:pt>
                <c:pt idx="19">
                  <c:v>2.8191033565289739E-2</c:v>
                </c:pt>
                <c:pt idx="20">
                  <c:v>1.6881933552004031E-2</c:v>
                </c:pt>
                <c:pt idx="21">
                  <c:v>1.1198422485104439E-2</c:v>
                </c:pt>
              </c:numCache>
            </c:numRef>
          </c:yVal>
          <c:smooth val="1"/>
        </c:ser>
        <c:axId val="105230720"/>
        <c:axId val="105233024"/>
      </c:scatterChart>
      <c:valAx>
        <c:axId val="105230720"/>
        <c:scaling>
          <c:logBase val="10"/>
          <c:orientation val="minMax"/>
          <c:max val="10"/>
          <c:min val="0.0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Period (s)</a:t>
                </a:r>
              </a:p>
            </c:rich>
          </c:tx>
          <c:layout>
            <c:manualLayout>
              <c:xMode val="edge"/>
              <c:yMode val="edge"/>
              <c:x val="0.490234375"/>
              <c:y val="0.9417218543046357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5233024"/>
        <c:crossesAt val="1E-3"/>
        <c:crossBetween val="midCat"/>
      </c:valAx>
      <c:valAx>
        <c:axId val="105233024"/>
        <c:scaling>
          <c:logBase val="10"/>
          <c:orientation val="minMax"/>
          <c:max val="10"/>
          <c:min val="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Spectral Acceleration (g)</a:t>
                </a:r>
              </a:p>
            </c:rich>
          </c:tx>
          <c:layout>
            <c:manualLayout>
              <c:xMode val="edge"/>
              <c:yMode val="edge"/>
              <c:x val="3.125E-2"/>
              <c:y val="0.39337748344370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5230720"/>
        <c:crossesAt val="1E-3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5%-Damped Pseudo-Absolute Acceleration Response Spectrum</a:t>
            </a:r>
          </a:p>
        </c:rich>
      </c:tx>
      <c:layout>
        <c:manualLayout>
          <c:xMode val="edge"/>
          <c:yMode val="edge"/>
          <c:x val="0.107421875"/>
          <c:y val="2.64900662251655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265625"/>
          <c:y val="0.15231788079470199"/>
          <c:w val="0.740234375"/>
          <c:h val="0.7377483443708609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'BA08'!$D$6:$D$26</c:f>
              <c:numCache>
                <c:formatCode>0.000</c:formatCode>
                <c:ptCount val="21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7.4999999999999997E-2</c:v>
                </c:pt>
                <c:pt idx="5" formatCode="0.00">
                  <c:v>0.1</c:v>
                </c:pt>
                <c:pt idx="6" formatCode="0.00">
                  <c:v>0.15</c:v>
                </c:pt>
                <c:pt idx="7" formatCode="0.00">
                  <c:v>0.2</c:v>
                </c:pt>
                <c:pt idx="8" formatCode="0.00">
                  <c:v>0.25</c:v>
                </c:pt>
                <c:pt idx="9" formatCode="0.00">
                  <c:v>0.3</c:v>
                </c:pt>
                <c:pt idx="10" formatCode="0.00">
                  <c:v>0.4</c:v>
                </c:pt>
                <c:pt idx="11" formatCode="0.00">
                  <c:v>0.5</c:v>
                </c:pt>
                <c:pt idx="12" formatCode="0.00">
                  <c:v>0.75</c:v>
                </c:pt>
                <c:pt idx="13" formatCode="0.0">
                  <c:v>1</c:v>
                </c:pt>
                <c:pt idx="14" formatCode="0.0">
                  <c:v>1.5</c:v>
                </c:pt>
                <c:pt idx="15" formatCode="0.0">
                  <c:v>2</c:v>
                </c:pt>
                <c:pt idx="16" formatCode="0.0">
                  <c:v>3</c:v>
                </c:pt>
                <c:pt idx="17" formatCode="0.0">
                  <c:v>4</c:v>
                </c:pt>
                <c:pt idx="18" formatCode="0.0">
                  <c:v>5</c:v>
                </c:pt>
                <c:pt idx="19" formatCode="0.0">
                  <c:v>7.5</c:v>
                </c:pt>
                <c:pt idx="20" formatCode="0.0">
                  <c:v>10</c:v>
                </c:pt>
              </c:numCache>
            </c:numRef>
          </c:xVal>
          <c:yVal>
            <c:numRef>
              <c:f>'BA08'!$E$6:$E$26</c:f>
              <c:numCache>
                <c:formatCode>0.000E+00</c:formatCode>
                <c:ptCount val="21"/>
                <c:pt idx="0">
                  <c:v>0.16494658700289899</c:v>
                </c:pt>
                <c:pt idx="1">
                  <c:v>0.16925284084896719</c:v>
                </c:pt>
                <c:pt idx="2">
                  <c:v>0.17904104617937402</c:v>
                </c:pt>
                <c:pt idx="3">
                  <c:v>0.20477465124148517</c:v>
                </c:pt>
                <c:pt idx="4">
                  <c:v>0.24445797162086827</c:v>
                </c:pt>
                <c:pt idx="5">
                  <c:v>0.28142481903600625</c:v>
                </c:pt>
                <c:pt idx="6">
                  <c:v>0.334831766960834</c:v>
                </c:pt>
                <c:pt idx="7">
                  <c:v>0.29643980919078372</c:v>
                </c:pt>
                <c:pt idx="8">
                  <c:v>0.28236738460744865</c:v>
                </c:pt>
                <c:pt idx="9">
                  <c:v>0.25656888878873446</c:v>
                </c:pt>
                <c:pt idx="10">
                  <c:v>0.22549352971697031</c:v>
                </c:pt>
                <c:pt idx="11">
                  <c:v>0.18954742667868063</c:v>
                </c:pt>
                <c:pt idx="12">
                  <c:v>0.13513234411355435</c:v>
                </c:pt>
                <c:pt idx="13">
                  <c:v>0.10257463015828308</c:v>
                </c:pt>
                <c:pt idx="14">
                  <c:v>7.396628569939051E-2</c:v>
                </c:pt>
                <c:pt idx="15">
                  <c:v>5.710008038710658E-2</c:v>
                </c:pt>
                <c:pt idx="16">
                  <c:v>4.3433576278783116E-2</c:v>
                </c:pt>
                <c:pt idx="17">
                  <c:v>3.2676372450545707E-2</c:v>
                </c:pt>
                <c:pt idx="18">
                  <c:v>2.6309255757558526E-2</c:v>
                </c:pt>
                <c:pt idx="19">
                  <c:v>1.5680261399832945E-2</c:v>
                </c:pt>
                <c:pt idx="20">
                  <c:v>8.4145584288420946E-3</c:v>
                </c:pt>
              </c:numCache>
            </c:numRef>
          </c:yVal>
          <c:smooth val="1"/>
        </c:ser>
        <c:axId val="105712256"/>
        <c:axId val="105714432"/>
      </c:scatterChart>
      <c:valAx>
        <c:axId val="105712256"/>
        <c:scaling>
          <c:logBase val="10"/>
          <c:orientation val="minMax"/>
          <c:max val="10"/>
          <c:min val="0.0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Period (s)</a:t>
                </a:r>
              </a:p>
            </c:rich>
          </c:tx>
          <c:layout>
            <c:manualLayout>
              <c:xMode val="edge"/>
              <c:yMode val="edge"/>
              <c:x val="0.490234375"/>
              <c:y val="0.9417218543046357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5714432"/>
        <c:crossesAt val="1E-3"/>
        <c:crossBetween val="midCat"/>
      </c:valAx>
      <c:valAx>
        <c:axId val="105714432"/>
        <c:scaling>
          <c:logBase val="10"/>
          <c:orientation val="minMax"/>
          <c:max val="10"/>
          <c:min val="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Spectral Acceleration (g)</a:t>
                </a:r>
              </a:p>
            </c:rich>
          </c:tx>
          <c:layout>
            <c:manualLayout>
              <c:xMode val="edge"/>
              <c:yMode val="edge"/>
              <c:x val="3.125E-2"/>
              <c:y val="0.39337748344370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5712256"/>
        <c:crossesAt val="1E-3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5%-Damped Pseudo-Absolute Acceleration Response Spectrum</a:t>
            </a:r>
          </a:p>
        </c:rich>
      </c:tx>
      <c:layout>
        <c:manualLayout>
          <c:xMode val="edge"/>
          <c:yMode val="edge"/>
          <c:x val="0.107421875"/>
          <c:y val="2.64900662251655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265625"/>
          <c:y val="0.15231788079470199"/>
          <c:w val="0.740234375"/>
          <c:h val="0.7377483443708609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'CB08'!$D$6:$D$26</c:f>
              <c:numCache>
                <c:formatCode>0.000</c:formatCode>
                <c:ptCount val="21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7.4999999999999997E-2</c:v>
                </c:pt>
                <c:pt idx="5" formatCode="0.00">
                  <c:v>0.1</c:v>
                </c:pt>
                <c:pt idx="6" formatCode="0.00">
                  <c:v>0.15</c:v>
                </c:pt>
                <c:pt idx="7" formatCode="0.00">
                  <c:v>0.2</c:v>
                </c:pt>
                <c:pt idx="8" formatCode="0.00">
                  <c:v>0.25</c:v>
                </c:pt>
                <c:pt idx="9" formatCode="0.00">
                  <c:v>0.3</c:v>
                </c:pt>
                <c:pt idx="10" formatCode="0.00">
                  <c:v>0.4</c:v>
                </c:pt>
                <c:pt idx="11" formatCode="0.00">
                  <c:v>0.5</c:v>
                </c:pt>
                <c:pt idx="12" formatCode="0.00">
                  <c:v>0.75</c:v>
                </c:pt>
                <c:pt idx="13" formatCode="0.0">
                  <c:v>1</c:v>
                </c:pt>
                <c:pt idx="14" formatCode="0.0">
                  <c:v>1.5</c:v>
                </c:pt>
                <c:pt idx="15" formatCode="0.0">
                  <c:v>2</c:v>
                </c:pt>
                <c:pt idx="16" formatCode="0.0">
                  <c:v>3</c:v>
                </c:pt>
                <c:pt idx="17" formatCode="0.0">
                  <c:v>4</c:v>
                </c:pt>
                <c:pt idx="18" formatCode="0.0">
                  <c:v>5</c:v>
                </c:pt>
                <c:pt idx="19" formatCode="0.0">
                  <c:v>7.5</c:v>
                </c:pt>
                <c:pt idx="20" formatCode="0.0">
                  <c:v>10</c:v>
                </c:pt>
              </c:numCache>
            </c:numRef>
          </c:xVal>
          <c:yVal>
            <c:numRef>
              <c:f>'CB08'!$E$6:$E$26</c:f>
              <c:numCache>
                <c:formatCode>0.000E+00</c:formatCode>
                <c:ptCount val="21"/>
                <c:pt idx="0">
                  <c:v>0.13622053312776025</c:v>
                </c:pt>
                <c:pt idx="1">
                  <c:v>0.13866690867479037</c:v>
                </c:pt>
                <c:pt idx="2">
                  <c:v>0.14808562126987604</c:v>
                </c:pt>
                <c:pt idx="3">
                  <c:v>0.1780693753379162</c:v>
                </c:pt>
                <c:pt idx="4">
                  <c:v>0.22395314047572554</c:v>
                </c:pt>
                <c:pt idx="5">
                  <c:v>0.26818419625341183</c:v>
                </c:pt>
                <c:pt idx="6">
                  <c:v>0.32957453539230142</c:v>
                </c:pt>
                <c:pt idx="7">
                  <c:v>0.35458579003206436</c:v>
                </c:pt>
                <c:pt idx="8">
                  <c:v>0.32574707747633125</c:v>
                </c:pt>
                <c:pt idx="9">
                  <c:v>0.29949340917602058</c:v>
                </c:pt>
                <c:pt idx="10">
                  <c:v>0.25983241396662038</c:v>
                </c:pt>
                <c:pt idx="11">
                  <c:v>0.24381182107880175</c:v>
                </c:pt>
                <c:pt idx="12">
                  <c:v>0.19205079265055833</c:v>
                </c:pt>
                <c:pt idx="13">
                  <c:v>0.15985715929545588</c:v>
                </c:pt>
                <c:pt idx="14">
                  <c:v>0.11585453904832907</c:v>
                </c:pt>
                <c:pt idx="15">
                  <c:v>9.1150479426391678E-2</c:v>
                </c:pt>
                <c:pt idx="16">
                  <c:v>6.1426161926790478E-2</c:v>
                </c:pt>
                <c:pt idx="17">
                  <c:v>4.6914924029353385E-2</c:v>
                </c:pt>
                <c:pt idx="18">
                  <c:v>3.914747146061924E-2</c:v>
                </c:pt>
                <c:pt idx="19">
                  <c:v>2.825684797510998E-2</c:v>
                </c:pt>
                <c:pt idx="20">
                  <c:v>2.2428575423602846E-2</c:v>
                </c:pt>
              </c:numCache>
            </c:numRef>
          </c:yVal>
          <c:smooth val="1"/>
        </c:ser>
        <c:axId val="105767680"/>
        <c:axId val="105769600"/>
      </c:scatterChart>
      <c:valAx>
        <c:axId val="105767680"/>
        <c:scaling>
          <c:logBase val="10"/>
          <c:orientation val="minMax"/>
          <c:max val="10"/>
          <c:min val="0.0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Period (s)</a:t>
                </a:r>
              </a:p>
            </c:rich>
          </c:tx>
          <c:layout>
            <c:manualLayout>
              <c:xMode val="edge"/>
              <c:yMode val="edge"/>
              <c:x val="0.490234375"/>
              <c:y val="0.9417218543046357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5769600"/>
        <c:crossesAt val="1E-3"/>
        <c:crossBetween val="midCat"/>
      </c:valAx>
      <c:valAx>
        <c:axId val="105769600"/>
        <c:scaling>
          <c:logBase val="10"/>
          <c:orientation val="minMax"/>
          <c:max val="10"/>
          <c:min val="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Spectral Acceleration (g)</a:t>
                </a:r>
              </a:p>
            </c:rich>
          </c:tx>
          <c:layout>
            <c:manualLayout>
              <c:xMode val="edge"/>
              <c:yMode val="edge"/>
              <c:x val="3.125E-2"/>
              <c:y val="0.39337748344370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05767680"/>
        <c:crossesAt val="1E-3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5%-Damped Pseudo-Absolute Acceleration Response Spectrum</a:t>
            </a:r>
          </a:p>
        </c:rich>
      </c:tx>
      <c:layout>
        <c:manualLayout>
          <c:xMode val="edge"/>
          <c:yMode val="edge"/>
          <c:x val="0.107421875"/>
          <c:y val="2.64900662251655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265625"/>
          <c:y val="0.15231788079470199"/>
          <c:w val="0.740234375"/>
          <c:h val="0.7377483443708609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'CY08'!$D$6:$D$27</c:f>
              <c:numCache>
                <c:formatCode>0.000</c:formatCode>
                <c:ptCount val="22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7.4999999999999997E-2</c:v>
                </c:pt>
                <c:pt idx="6" formatCode="0.00">
                  <c:v>0.1</c:v>
                </c:pt>
                <c:pt idx="7" formatCode="0.00">
                  <c:v>0.15</c:v>
                </c:pt>
                <c:pt idx="8" formatCode="0.00">
                  <c:v>0.2</c:v>
                </c:pt>
                <c:pt idx="9" formatCode="0.00">
                  <c:v>0.25</c:v>
                </c:pt>
                <c:pt idx="10" formatCode="0.00">
                  <c:v>0.3</c:v>
                </c:pt>
                <c:pt idx="11" formatCode="0.00">
                  <c:v>0.4</c:v>
                </c:pt>
                <c:pt idx="12" formatCode="0.00">
                  <c:v>0.5</c:v>
                </c:pt>
                <c:pt idx="13" formatCode="0.00">
                  <c:v>0.75</c:v>
                </c:pt>
                <c:pt idx="14" formatCode="0.0">
                  <c:v>1</c:v>
                </c:pt>
                <c:pt idx="15" formatCode="0.0">
                  <c:v>1.5</c:v>
                </c:pt>
                <c:pt idx="16" formatCode="0.0">
                  <c:v>2</c:v>
                </c:pt>
                <c:pt idx="17" formatCode="0.0">
                  <c:v>3</c:v>
                </c:pt>
                <c:pt idx="18" formatCode="0.0">
                  <c:v>4</c:v>
                </c:pt>
                <c:pt idx="19" formatCode="0.0">
                  <c:v>5</c:v>
                </c:pt>
                <c:pt idx="20" formatCode="0.0">
                  <c:v>7.5</c:v>
                </c:pt>
                <c:pt idx="21" formatCode="0.0">
                  <c:v>10</c:v>
                </c:pt>
              </c:numCache>
            </c:numRef>
          </c:xVal>
          <c:yVal>
            <c:numRef>
              <c:f>'CY08'!$F$6:$F$27</c:f>
              <c:numCache>
                <c:formatCode>0.000E+00</c:formatCode>
                <c:ptCount val="22"/>
                <c:pt idx="0">
                  <c:v>0.16505906870976753</c:v>
                </c:pt>
                <c:pt idx="1">
                  <c:v>0.16744031389270969</c:v>
                </c:pt>
                <c:pt idx="2">
                  <c:v>0.17883248083002543</c:v>
                </c:pt>
                <c:pt idx="3">
                  <c:v>0.19618564030849192</c:v>
                </c:pt>
                <c:pt idx="4">
                  <c:v>0.21890774682114506</c:v>
                </c:pt>
                <c:pt idx="5">
                  <c:v>0.27803220411042473</c:v>
                </c:pt>
                <c:pt idx="6">
                  <c:v>0.32661408838273709</c:v>
                </c:pt>
                <c:pt idx="7">
                  <c:v>0.37722503396714752</c:v>
                </c:pt>
                <c:pt idx="8">
                  <c:v>0.37095313204498359</c:v>
                </c:pt>
                <c:pt idx="9">
                  <c:v>0.348652406483488</c:v>
                </c:pt>
                <c:pt idx="10">
                  <c:v>0.32268830847908797</c:v>
                </c:pt>
                <c:pt idx="11">
                  <c:v>0.27391553016132975</c:v>
                </c:pt>
                <c:pt idx="12">
                  <c:v>0.23413410365856985</c:v>
                </c:pt>
                <c:pt idx="13">
                  <c:v>0.17298504602134623</c:v>
                </c:pt>
                <c:pt idx="14">
                  <c:v>0.13839866334552173</c:v>
                </c:pt>
                <c:pt idx="15">
                  <c:v>9.522901394655249E-2</c:v>
                </c:pt>
                <c:pt idx="16">
                  <c:v>6.7645286784249359E-2</c:v>
                </c:pt>
                <c:pt idx="17">
                  <c:v>4.0940312931994523E-2</c:v>
                </c:pt>
                <c:pt idx="18">
                  <c:v>2.8164771338011263E-2</c:v>
                </c:pt>
                <c:pt idx="19">
                  <c:v>2.0721464368590493E-2</c:v>
                </c:pt>
                <c:pt idx="20">
                  <c:v>1.0978970939642908E-2</c:v>
                </c:pt>
                <c:pt idx="21">
                  <c:v>6.4761164339382374E-3</c:v>
                </c:pt>
              </c:numCache>
            </c:numRef>
          </c:yVal>
          <c:smooth val="1"/>
        </c:ser>
        <c:axId val="111417984"/>
        <c:axId val="111436544"/>
      </c:scatterChart>
      <c:valAx>
        <c:axId val="111417984"/>
        <c:scaling>
          <c:logBase val="10"/>
          <c:orientation val="minMax"/>
          <c:max val="10"/>
          <c:min val="0.0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Period (s)</a:t>
                </a:r>
              </a:p>
            </c:rich>
          </c:tx>
          <c:layout>
            <c:manualLayout>
              <c:xMode val="edge"/>
              <c:yMode val="edge"/>
              <c:x val="0.490234375"/>
              <c:y val="0.9417218543046357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1436544"/>
        <c:crossesAt val="1E-3"/>
        <c:crossBetween val="midCat"/>
      </c:valAx>
      <c:valAx>
        <c:axId val="111436544"/>
        <c:scaling>
          <c:logBase val="10"/>
          <c:orientation val="minMax"/>
          <c:max val="10"/>
          <c:min val="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Spectral Acceleration (g)</a:t>
                </a:r>
              </a:p>
            </c:rich>
          </c:tx>
          <c:layout>
            <c:manualLayout>
              <c:xMode val="edge"/>
              <c:yMode val="edge"/>
              <c:x val="3.125E-2"/>
              <c:y val="0.39337748344370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1417984"/>
        <c:crossesAt val="1E-3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5%-Damped Pseudo-Absolute Acceleration Response Spectrum</a:t>
            </a:r>
          </a:p>
        </c:rich>
      </c:tx>
      <c:layout>
        <c:manualLayout>
          <c:xMode val="edge"/>
          <c:yMode val="edge"/>
          <c:x val="0.107421875"/>
          <c:y val="2.64900662251655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265625"/>
          <c:y val="0.15231788079470207"/>
          <c:w val="0.740234375"/>
          <c:h val="0.73774834437086112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'I08'!$D$6:$D$26</c:f>
              <c:numCache>
                <c:formatCode>0.000</c:formatCode>
                <c:ptCount val="21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 formatCode="0.00">
                  <c:v>0.1</c:v>
                </c:pt>
                <c:pt idx="6" formatCode="0.00">
                  <c:v>0.15</c:v>
                </c:pt>
                <c:pt idx="7" formatCode="0.00">
                  <c:v>0.2</c:v>
                </c:pt>
                <c:pt idx="8" formatCode="0.00">
                  <c:v>0.25</c:v>
                </c:pt>
                <c:pt idx="9" formatCode="0.00">
                  <c:v>0.3</c:v>
                </c:pt>
                <c:pt idx="10" formatCode="0.00">
                  <c:v>0.4</c:v>
                </c:pt>
                <c:pt idx="11" formatCode="0.00">
                  <c:v>0.5</c:v>
                </c:pt>
                <c:pt idx="12" formatCode="0.0">
                  <c:v>1</c:v>
                </c:pt>
                <c:pt idx="13" formatCode="0.0">
                  <c:v>1.5</c:v>
                </c:pt>
                <c:pt idx="14" formatCode="0.0">
                  <c:v>2</c:v>
                </c:pt>
                <c:pt idx="15" formatCode="0.0">
                  <c:v>3</c:v>
                </c:pt>
                <c:pt idx="16" formatCode="0.0">
                  <c:v>4</c:v>
                </c:pt>
                <c:pt idx="17" formatCode="0.0">
                  <c:v>5</c:v>
                </c:pt>
                <c:pt idx="18" formatCode="0.0">
                  <c:v>10</c:v>
                </c:pt>
                <c:pt idx="20" formatCode="0">
                  <c:v>0</c:v>
                </c:pt>
              </c:numCache>
            </c:numRef>
          </c:xVal>
          <c:yVal>
            <c:numRef>
              <c:f>'I08'!$E$6:$E$26</c:f>
              <c:numCache>
                <c:formatCode>0.000E+00</c:formatCode>
                <c:ptCount val="21"/>
                <c:pt idx="0">
                  <c:v>0.20321372030398632</c:v>
                </c:pt>
                <c:pt idx="1">
                  <c:v>0.20321372030398632</c:v>
                </c:pt>
                <c:pt idx="2">
                  <c:v>0.21363271054262237</c:v>
                </c:pt>
                <c:pt idx="3">
                  <c:v>0.22458589383392435</c:v>
                </c:pt>
                <c:pt idx="4">
                  <c:v>0.23943397297051819</c:v>
                </c:pt>
                <c:pt idx="5">
                  <c:v>0.33137138741307698</c:v>
                </c:pt>
                <c:pt idx="6">
                  <c:v>0.39035824323044577</c:v>
                </c:pt>
                <c:pt idx="7">
                  <c:v>0.44992269213380265</c:v>
                </c:pt>
                <c:pt idx="8">
                  <c:v>0.47131009292231768</c:v>
                </c:pt>
                <c:pt idx="9">
                  <c:v>0.46417078922724964</c:v>
                </c:pt>
                <c:pt idx="10">
                  <c:v>0.43253322856508603</c:v>
                </c:pt>
                <c:pt idx="11">
                  <c:v>0.39024609650831443</c:v>
                </c:pt>
                <c:pt idx="12">
                  <c:v>0.25233352752778393</c:v>
                </c:pt>
                <c:pt idx="13">
                  <c:v>0.17407873455950013</c:v>
                </c:pt>
                <c:pt idx="14">
                  <c:v>0.12252848937553558</c:v>
                </c:pt>
                <c:pt idx="15">
                  <c:v>7.3217168580534855E-2</c:v>
                </c:pt>
                <c:pt idx="16">
                  <c:v>4.7257080818633029E-2</c:v>
                </c:pt>
                <c:pt idx="17">
                  <c:v>3.3564210269690781E-2</c:v>
                </c:pt>
                <c:pt idx="18">
                  <c:v>9.4692843657566902E-3</c:v>
                </c:pt>
                <c:pt idx="20">
                  <c:v>0.20321372030398632</c:v>
                </c:pt>
              </c:numCache>
            </c:numRef>
          </c:yVal>
          <c:smooth val="1"/>
        </c:ser>
        <c:axId val="111473408"/>
        <c:axId val="111475328"/>
      </c:scatterChart>
      <c:valAx>
        <c:axId val="111473408"/>
        <c:scaling>
          <c:logBase val="10"/>
          <c:orientation val="minMax"/>
          <c:max val="10"/>
          <c:min val="0.0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Period (s)</a:t>
                </a:r>
              </a:p>
            </c:rich>
          </c:tx>
          <c:layout>
            <c:manualLayout>
              <c:xMode val="edge"/>
              <c:yMode val="edge"/>
              <c:x val="0.490234375"/>
              <c:y val="0.9417218543046357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1475328"/>
        <c:crossesAt val="1E-3"/>
        <c:crossBetween val="midCat"/>
      </c:valAx>
      <c:valAx>
        <c:axId val="111475328"/>
        <c:scaling>
          <c:logBase val="10"/>
          <c:orientation val="minMax"/>
          <c:max val="10"/>
          <c:min val="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Spectral Acceleration (g)</a:t>
                </a:r>
              </a:p>
            </c:rich>
          </c:tx>
          <c:layout>
            <c:manualLayout>
              <c:xMode val="edge"/>
              <c:yMode val="edge"/>
              <c:x val="3.125E-2"/>
              <c:y val="0.39337748344370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1473408"/>
        <c:crossesAt val="1E-3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76200</xdr:rowOff>
    </xdr:from>
    <xdr:to>
      <xdr:col>15</xdr:col>
      <xdr:colOff>238125</xdr:colOff>
      <xdr:row>33</xdr:row>
      <xdr:rowOff>0</xdr:rowOff>
    </xdr:to>
    <xdr:graphicFrame macro="">
      <xdr:nvGraphicFramePr>
        <xdr:cNvPr id="67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419100</xdr:colOff>
      <xdr:row>45</xdr:row>
      <xdr:rowOff>152400</xdr:rowOff>
    </xdr:from>
    <xdr:to>
      <xdr:col>28</xdr:col>
      <xdr:colOff>371475</xdr:colOff>
      <xdr:row>66</xdr:row>
      <xdr:rowOff>152400</xdr:rowOff>
    </xdr:to>
    <xdr:pic>
      <xdr:nvPicPr>
        <xdr:cNvPr id="6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72750" y="9001125"/>
          <a:ext cx="9096375" cy="420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66</xdr:row>
      <xdr:rowOff>180975</xdr:rowOff>
    </xdr:from>
    <xdr:to>
      <xdr:col>21</xdr:col>
      <xdr:colOff>533400</xdr:colOff>
      <xdr:row>87</xdr:row>
      <xdr:rowOff>142875</xdr:rowOff>
    </xdr:to>
    <xdr:pic>
      <xdr:nvPicPr>
        <xdr:cNvPr id="6753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572750" y="13230225"/>
          <a:ext cx="4991100" cy="401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23</xdr:col>
      <xdr:colOff>0</xdr:colOff>
      <xdr:row>39</xdr:row>
      <xdr:rowOff>190500</xdr:rowOff>
    </xdr:to>
    <xdr:graphicFrame macro="">
      <xdr:nvGraphicFramePr>
        <xdr:cNvPr id="1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20</xdr:col>
      <xdr:colOff>0</xdr:colOff>
      <xdr:row>39</xdr:row>
      <xdr:rowOff>190500</xdr:rowOff>
    </xdr:to>
    <xdr:graphicFrame macro="">
      <xdr:nvGraphicFramePr>
        <xdr:cNvPr id="3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20</xdr:col>
      <xdr:colOff>0</xdr:colOff>
      <xdr:row>39</xdr:row>
      <xdr:rowOff>190500</xdr:rowOff>
    </xdr:to>
    <xdr:graphicFrame macro="">
      <xdr:nvGraphicFramePr>
        <xdr:cNvPr id="4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18</xdr:col>
      <xdr:colOff>0</xdr:colOff>
      <xdr:row>39</xdr:row>
      <xdr:rowOff>190500</xdr:rowOff>
    </xdr:to>
    <xdr:graphicFrame macro="">
      <xdr:nvGraphicFramePr>
        <xdr:cNvPr id="5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3</xdr:row>
      <xdr:rowOff>0</xdr:rowOff>
    </xdr:from>
    <xdr:to>
      <xdr:col>15</xdr:col>
      <xdr:colOff>600075</xdr:colOff>
      <xdr:row>38</xdr:row>
      <xdr:rowOff>190500</xdr:rowOff>
    </xdr:to>
    <xdr:graphicFrame macro="">
      <xdr:nvGraphicFramePr>
        <xdr:cNvPr id="2296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3"/>
  <sheetViews>
    <sheetView tabSelected="1" topLeftCell="A7" workbookViewId="0">
      <selection activeCell="K63" sqref="K63"/>
    </sheetView>
  </sheetViews>
  <sheetFormatPr defaultRowHeight="12.75"/>
  <cols>
    <col min="1" max="1" width="13.28515625" customWidth="1"/>
    <col min="2" max="2" width="10" bestFit="1" customWidth="1"/>
    <col min="3" max="3" width="10" customWidth="1"/>
    <col min="4" max="4" width="10.7109375" customWidth="1"/>
    <col min="5" max="5" width="13.28515625" customWidth="1"/>
    <col min="6" max="6" width="15.7109375" customWidth="1"/>
    <col min="7" max="7" width="15.28515625" customWidth="1"/>
    <col min="8" max="8" width="13.140625" customWidth="1"/>
    <col min="9" max="10" width="10.85546875" customWidth="1"/>
    <col min="11" max="11" width="10.85546875" bestFit="1" customWidth="1"/>
  </cols>
  <sheetData>
    <row r="1" spans="1:15" ht="15">
      <c r="A1" s="107" t="s">
        <v>236</v>
      </c>
      <c r="B1" s="108"/>
      <c r="C1" s="108"/>
      <c r="D1" s="108"/>
      <c r="E1" s="108"/>
      <c r="F1" s="108"/>
      <c r="G1" s="54"/>
      <c r="H1" s="55"/>
      <c r="J1" s="16"/>
      <c r="K1" s="16"/>
      <c r="L1" s="16"/>
      <c r="M1" s="16"/>
    </row>
    <row r="2" spans="1:15" ht="15">
      <c r="A2" s="95"/>
      <c r="B2" s="55"/>
      <c r="C2" s="55"/>
      <c r="D2" s="55"/>
      <c r="E2" s="55"/>
      <c r="F2" s="55"/>
      <c r="G2" s="54"/>
      <c r="H2" s="55"/>
      <c r="J2" s="16"/>
      <c r="K2" s="16"/>
      <c r="L2" s="16"/>
      <c r="M2" s="16"/>
    </row>
    <row r="3" spans="1:15" ht="14.25">
      <c r="A3" s="96" t="s">
        <v>277</v>
      </c>
      <c r="B3" s="55"/>
      <c r="C3" s="55"/>
      <c r="D3" s="55"/>
      <c r="E3" s="55"/>
      <c r="F3" s="55"/>
      <c r="G3" s="54"/>
      <c r="H3" s="55"/>
      <c r="J3" s="16"/>
      <c r="K3" s="16"/>
      <c r="L3" s="16"/>
      <c r="M3" s="16"/>
    </row>
    <row r="4" spans="1:15" ht="13.5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</row>
    <row r="5" spans="1:15" ht="15.75" customHeight="1">
      <c r="A5" s="63" t="s">
        <v>234</v>
      </c>
      <c r="B5" s="56" t="s">
        <v>217</v>
      </c>
      <c r="C5" s="56" t="s">
        <v>218</v>
      </c>
      <c r="D5" s="66" t="s">
        <v>219</v>
      </c>
      <c r="E5" s="66" t="s">
        <v>220</v>
      </c>
      <c r="F5" s="67" t="s">
        <v>255</v>
      </c>
      <c r="G5" s="75" t="str">
        <f>IF(AND(A43&lt;450,F6&gt;0,SUM(B6:E6)&gt;0),"I08 Model cannot be used for Vs30 less than 450 m/sec. Results are obtained assuming 0 weight for I08 and normalizing the weights of the rest of the models",IF(AND(A43&lt;450,F6&gt;0),"I08 Model cannot be used for Vs30 less than 450 m/sec. ",""))</f>
        <v/>
      </c>
      <c r="H5" s="109" t="s">
        <v>282</v>
      </c>
      <c r="I5" s="110"/>
      <c r="J5" s="110"/>
      <c r="K5" s="111"/>
      <c r="L5" s="12"/>
      <c r="M5" s="12"/>
      <c r="N5" s="12"/>
      <c r="O5" s="18"/>
    </row>
    <row r="6" spans="1:15" ht="15.75" customHeight="1" thickBot="1">
      <c r="A6" s="64" t="s">
        <v>235</v>
      </c>
      <c r="B6" s="65">
        <v>1</v>
      </c>
      <c r="C6" s="65">
        <v>0</v>
      </c>
      <c r="D6" s="65">
        <v>0</v>
      </c>
      <c r="E6" s="65">
        <v>0</v>
      </c>
      <c r="F6" s="74">
        <v>0</v>
      </c>
      <c r="G6" s="84" t="str">
        <f>IF(AND(SUM(B6:F6)&gt;0.99,SUM(B6:F6)&lt;1.01)," ","Weights should sum up to 1")</f>
        <v xml:space="preserve"> </v>
      </c>
      <c r="H6" s="112" t="s">
        <v>283</v>
      </c>
      <c r="I6" s="113"/>
      <c r="J6" s="113"/>
      <c r="K6" s="114"/>
    </row>
    <row r="7" spans="1:15" ht="16.5" thickBot="1">
      <c r="B7" s="17"/>
      <c r="C7" s="12"/>
      <c r="D7" s="20"/>
      <c r="E7" s="21"/>
      <c r="F7" s="20"/>
      <c r="G7" s="20"/>
      <c r="H7" s="112" t="s">
        <v>284</v>
      </c>
      <c r="I7" s="113"/>
      <c r="J7" s="113"/>
      <c r="K7" s="114"/>
      <c r="L7" s="23"/>
      <c r="M7" s="24"/>
      <c r="N7" s="24"/>
      <c r="O7" s="23"/>
    </row>
    <row r="8" spans="1:15" ht="16.5" thickBot="1">
      <c r="A8" s="93" t="s">
        <v>274</v>
      </c>
      <c r="B8" s="88">
        <v>1</v>
      </c>
      <c r="C8" s="12"/>
      <c r="D8" s="20"/>
      <c r="E8" s="21"/>
      <c r="F8" s="20"/>
      <c r="G8" s="20"/>
      <c r="H8" s="112" t="s">
        <v>285</v>
      </c>
      <c r="I8" s="113"/>
      <c r="J8" s="113"/>
      <c r="K8" s="114"/>
      <c r="L8" s="23"/>
      <c r="M8" s="24"/>
      <c r="N8" s="24"/>
      <c r="O8" s="23"/>
    </row>
    <row r="9" spans="1:15" ht="16.5" thickBot="1">
      <c r="B9" s="17"/>
      <c r="C9" s="12"/>
      <c r="D9" s="20"/>
      <c r="E9" s="21"/>
      <c r="F9" s="20"/>
      <c r="G9" s="20"/>
      <c r="H9" s="115" t="s">
        <v>286</v>
      </c>
      <c r="I9" s="116"/>
      <c r="J9" s="116"/>
      <c r="K9" s="117"/>
      <c r="L9" s="23"/>
      <c r="M9" s="24"/>
      <c r="N9" s="24"/>
      <c r="O9" s="23"/>
    </row>
    <row r="10" spans="1:15" ht="15.75" customHeight="1">
      <c r="A10" s="1" t="s">
        <v>47</v>
      </c>
      <c r="B10" s="30"/>
      <c r="C10" s="105" t="s">
        <v>48</v>
      </c>
      <c r="D10" s="105"/>
      <c r="E10" s="105"/>
      <c r="F10" s="105"/>
      <c r="G10" s="105"/>
      <c r="H10" s="106"/>
      <c r="I10" s="12"/>
      <c r="J10" s="12"/>
      <c r="K10" s="12"/>
      <c r="L10" s="12"/>
      <c r="M10" s="12"/>
      <c r="N10" s="12"/>
      <c r="O10" s="2"/>
    </row>
    <row r="11" spans="1:15" ht="6.75" customHeight="1" thickBot="1">
      <c r="A11" s="1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"/>
    </row>
    <row r="12" spans="1:15" ht="15.75" customHeight="1">
      <c r="A12" s="57" t="s">
        <v>30</v>
      </c>
      <c r="C12" s="12" t="s">
        <v>32</v>
      </c>
      <c r="D12" s="20" t="s">
        <v>69</v>
      </c>
      <c r="E12" s="22" t="s">
        <v>221</v>
      </c>
      <c r="F12" s="22" t="s">
        <v>275</v>
      </c>
      <c r="G12" s="22" t="s">
        <v>276</v>
      </c>
      <c r="H12" s="22" t="s">
        <v>222</v>
      </c>
      <c r="J12" s="17"/>
      <c r="K12" s="17"/>
      <c r="L12" s="25"/>
      <c r="M12" s="17"/>
      <c r="N12" s="17"/>
      <c r="O12" s="2"/>
    </row>
    <row r="13" spans="1:15" ht="15.75" customHeight="1">
      <c r="A13" s="58">
        <v>8</v>
      </c>
      <c r="B13" s="68"/>
      <c r="C13" s="12" t="s">
        <v>49</v>
      </c>
      <c r="D13" s="26">
        <v>0.01</v>
      </c>
      <c r="E13" s="28">
        <f>IF(A43&lt;450,IF(F6&gt;0,EXP($B$6/SUM($B$6:$E$6)*LN('AS08'!K6)+$C$6/SUM($B$6:$E$6)*LN('BA08'!E6)+$D$6/SUM($B$6:$E$6)*LN('CB08'!E6)+$E$6/SUM($B$6:$E$6)*LN('CY08'!F6)),EXP($B$6/SUM($B$6:$E$6)*LN('AS08'!K6)+$C$6/SUM($B$6:$E$6)*LN('BA08'!E6)+$D$6/SUM($B$6:$E$6)*LN('CB08'!E6)+$E$6/SUM($B$6:$E$6)*LN('CY08'!F6))),IF(F6&gt;0,EXP($B$6*LN('AS08'!K6)+$C$6*LN('BA08'!E6)+$D$6*LN('CB08'!E6)+$E$6*LN('CY08'!F6)+$F$6*LN('I08'!E6)),EXP($B$6*LN('AS08'!K6)+$C$6*LN('BA08'!E6)+$D$6*LN('CB08'!E6)+$E$6*LN('CY08'!F6))))</f>
        <v>0.17029028771750668</v>
      </c>
      <c r="F13" s="28">
        <f>IF(A43&lt;450,IF($A$25=1,IF(F6&gt;0,EXP($B$6/SUM($B$6:$E$6)*(LN('AS08'!K6)+($B$8*'AS08'!N6))+$C$6/SUM($B$6:$E$6)*(LN('BA08'!E6)+($B$8*'BA08'!I6))+$D$6/SUM($B$6:$E$6)*(LN('CB08'!E6)+($B$8*'CB08'!J6))+$E$6/SUM($B$6:$E$6)*(LN('CY08'!F6)+($B$8*'CY08'!I6))),EXP($B$6/SUM($B$6:$E$6)*(LN('AS08'!K6)+($B$8*'AS08'!N6))+$C$6/SUM($B$6:$E$6)*(LN('BA08'!E6)+($B$8*'BA08'!I6))+$D$6/SUM($B$6:$E$6)*(LN('CB08'!E6)+($B$8*'CB08'!J6))+$E$6/SUM($B$6:$E$6)*(LN('CY08'!F6)+($B$8*'CY08'!I6)))),IF(F6&gt;0,EXP($B$6/SUM($B$6:$E$6)*(LN('AS08'!K6)+($B$8*'AS08'!N6))+$C$6/SUM($B$6:$E$6)*(LN('BA08'!E6)+($B$8*'BA08'!K6))+$D$6/SUM($B$6:$E$6)*(LN('CB08'!E6)+($B$8*'CB08'!J6))+$E$6/SUM($B$6:$E$6)*(LN('CY08'!F6)+($B$8*'CY08'!I6))),EXP($B$6/SUM($B$6:$E$6)*(LN('AS08'!K6)+($B$8*'AS08'!N6))+$C$6/SUM($B$6:$E$6)*(LN('BA08'!E6)+($B$8*'BA08'!K6))+$D$6/SUM($B$6:$E$6)*(LN('CB08'!E6)+($B$8*'CB08'!J6))+$E$6/SUM($B$6:$E$6)*(LN('CY08'!F6)+($B$8*'CY08'!I6))))),IF($A$25=1,IF(F6&gt;0,EXP($B$6*(LN('AS08'!K6)+($B$8*'AS08'!N6))+$C$6*(LN('BA08'!E6)+($B$8*'BA08'!I6))+$D$6*(LN('CB08'!E6)+($B$8*'CB08'!J6))+$E$6*(LN('CY08'!F6)+($B$8*'CY08'!I6))+$F$6*(LN('I08'!E6)+($B$8*'I08'!F6))),EXP($B$6*(LN('AS08'!K6)+($B$8*'AS08'!N6))+$C$6*(LN('BA08'!E6)+($B$8*'BA08'!I6))+$D$6*(LN('CB08'!E6)+($B$8*'CB08'!J6))+$E$6*(LN('CY08'!F6)+($B$8*'CY08'!I6)))),IF(F6&gt;0,EXP($B$6*(LN('AS08'!K6)+($B$8*'AS08'!N6))+$C$6*(LN('BA08'!E6)+($B$8*'BA08'!K6))+$D$6*(LN('CB08'!E6)+($B$8*'CB08'!J6))+$E$6*(LN('CY08'!F6)+($B$8*'CY08'!I6))+$F$6*(LN('I08'!E6)+($B$8*'I08'!F6))),EXP($B$6*(LN('AS08'!K6)+($B$8*'AS08'!N6))+$C$6*(LN('BA08'!E6)+($B$8*'BA08'!K6))+$D$6*(LN('CB08'!E6)+($B$8*'CB08'!J6))+$E$6*(LN('CY08'!F6)+($B$8*'CY08'!I6))))))</f>
        <v>0.29177637251467775</v>
      </c>
      <c r="G13" s="28">
        <f>IF(A43&lt;450,IF($A$25=1,IF(F6&gt;0,EXP($B$6/SUM($B$6:$E$6)*(LN('AS08'!K6)-($B$8*'AS08'!N6))+$C$6/SUM($B$6:$E$6)*(LN('BA08'!E6)-($B$8*'BA08'!I6))+$D$6/SUM($B$6:$E$6)*(LN('CB08'!E6)-($B$8*'CB08'!J6))+$E$6/SUM($B$6:$E$6)*(LN('CY08'!F6)-($B$8*'CY08'!I6))),EXP($B$6/SUM($B$6:$E$6)*(LN('AS08'!K6)-($B$8*'AS08'!N6))+$C$6/SUM($B$6:$E$6)*(LN('BA08'!E6)-($B$8*'BA08'!I6))+$D$6/SUM($B$6:$E$6)*(LN('CB08'!E6)-($B$8*'CB08'!J6))+$E$6/SUM($B$6:$E$6)*(LN('CY08'!F6)-($B$8*'CY08'!I6)))),IF(F6&gt;0,EXP($B$6/SUM($B$6:$E$6)*(LN('AS08'!K6)-($B$8*'AS08'!N6))+$C$6/SUM($B$6:$E$6)*(LN('BA08'!E6)-($B$8*'BA08'!K6))+$D$6/SUM($B$6:$E$6)*(LN('CB08'!E6)-($B$8*'CB08'!J6))+$E$6/SUM($B$6:$E$6)*(LN('CY08'!F6)-($B$8*'CY08'!I6))),EXP($B$6/SUM($B$6:$E$6)*(LN('AS08'!K6)-($B$8*'AS08'!N6))+$C$6/SUM($B$6:$E$6)*(LN('BA08'!E6)-($B$8*'BA08'!K6))+$D$6/SUM($B$6:$E$6)*(LN('CB08'!E6)-($B$8*'CB08'!J6))+$E$6/SUM($B$6:$E$6)*(LN('CY08'!F6)-($B$8*'CY08'!I6))))),IF($A$25=1,IF(F6&gt;0,EXP($B$6*(LN('AS08'!K6)-($B$8*'AS08'!N6))+$C$6*(LN('BA08'!E6)-($B$8*'BA08'!I6))+$D$6*(LN('CB08'!E6)-($B$8*'CB08'!J6))+$E$6*(LN('CY08'!F6)-($B$8*'CY08'!I6))+$F$6*(LN('I08'!E6)-($B$8*'I08'!F6))),EXP($B$6*(LN('AS08'!K6)-($B$8*'AS08'!N6))+$C$6*(LN('BA08'!E6)-($B$8*'BA08'!I6))+$D$6*(LN('CB08'!E6)-($B$8*'CB08'!J6))+$E$6*(LN('CY08'!F6)-($B$8*'CY08'!I6)))),IF(F6&gt;0,EXP($B$6*(LN('AS08'!K6)-($B$8*'AS08'!N6))+$C$6*(LN('BA08'!E6)-($B$8*'BA08'!K6))+$D$6*(LN('CB08'!E6)-($B$8*'CB08'!J6))+$E$6*(LN('CY08'!F6)-($B$8*'CY08'!I6))+$F$6*(LN('I08'!E6)-($B$8*'I08'!F6))),EXP($B$6*(LN('AS08'!K6)-($B$8*'AS08'!N6))+$C$6*(LN('BA08'!E6)-($B$8*'BA08'!K6))+$D$6*(LN('CB08'!E6)-($B$8*'CB08'!J6))+$E$6*(LN('CY08'!F6)-($B$8*'CY08'!I6))))))</f>
        <v>9.9387012872169514E-2</v>
      </c>
      <c r="H13" s="28">
        <f>(E13*980)/(2*PI()/D13)^2</f>
        <v>4.2272333110113469E-4</v>
      </c>
      <c r="I13" s="28"/>
      <c r="J13" s="28"/>
      <c r="K13" s="28"/>
      <c r="L13" s="14"/>
      <c r="M13" s="14"/>
      <c r="N13" s="14"/>
      <c r="O13" s="2"/>
    </row>
    <row r="14" spans="1:15" ht="15.75" customHeight="1">
      <c r="A14" s="58"/>
      <c r="B14" s="68"/>
      <c r="C14" s="12" t="s">
        <v>223</v>
      </c>
      <c r="D14" s="26">
        <v>0.02</v>
      </c>
      <c r="E14" s="28">
        <f>IF(A43&lt;450,IF(F6&gt;0,EXP($B$6/SUM($B$6:$E$6)*LN('AS08'!K7)+$C$6/SUM($B$6:$E$6)*LN('BA08'!E7)+$D$6/SUM($B$6:$E$6)*LN('CB08'!E7)+$E$6/SUM($B$6:$E$6)*LN('CY08'!F7)),EXP($B$6/SUM($B$6:$E$6)*LN('AS08'!K7)+$C$6/SUM($B$6:$E$6)*LN('BA08'!E7)+$D$6/SUM($B$6:$E$6)*LN('CB08'!E7)+$E$6/SUM($B$6:$E$6)*LN('CY08'!F7))),IF(F6&gt;0,EXP($B$6*LN('AS08'!K7)+$C$6*LN('BA08'!E7)+$D$6*LN('CB08'!E7)+$E$6*LN('CY08'!F7)+$F$6*LN('I08'!E7)),EXP($B$6*LN('AS08'!K7)+$C$6*LN('BA08'!E7)+$D$6*LN('CB08'!E7)+$E$6*LN('CY08'!F7))))</f>
        <v>0.17249896084810443</v>
      </c>
      <c r="F14" s="28">
        <f>IF(A43&lt;450,IF($A$25=1,IF(F6&gt;0,EXP($B$6/SUM($B$6:$E$6)*(LN('AS08'!K7)+($B$8*'AS08'!N7))+$C$6/SUM($B$6:$E$6)*(LN('BA08'!E7)+($B$8*'BA08'!I7))+$D$6/SUM($B$6:$E$6)*(LN('CB08'!E7)+($B$8*'CB08'!J7))+$E$6/SUM($B$6:$E$6)*(LN('CY08'!F7)+($B$8*'CY08'!I7))),EXP($B$6/SUM($B$6:$E$6)*(LN('AS08'!K7)+($B$8*'AS08'!N7))+$C$6/SUM($B$6:$E$6)*(LN('BA08'!E7)+($B$8*'BA08'!I7))+$D$6/SUM($B$6:$E$6)*(LN('CB08'!E7)+($B$8*'CB08'!J7))+$E$6/SUM($B$6:$E$6)*(LN('CY08'!F7)+($B$8*'CY08'!I7)))),IF(F6&gt;0,EXP($B$6/SUM($B$6:$E$6)*(LN('AS08'!K7)+($B$8*'AS08'!N7))+$C$6/SUM($B$6:$E$6)*(LN('BA08'!E7)+($B$8*'BA08'!K7))+$D$6/SUM($B$6:$E$6)*(LN('CB08'!E7)+($B$8*'CB08'!J7))+$E$6/SUM($B$6:$E$6)*(LN('CY08'!F7)+($B$8*'CY08'!I7))),EXP($B$6/SUM($B$6:$E$6)*(LN('AS08'!K7)+($B$8*'AS08'!N7))+$C$6/SUM($B$6:$E$6)*(LN('BA08'!E7)+($B$8*'BA08'!K7))+$D$6/SUM($B$6:$E$6)*(LN('CB08'!E7)+($B$8*'CB08'!J7))+$E$6/SUM($B$6:$E$6)*(LN('CY08'!F7)+($B$8*'CY08'!I7))))),IF($A$25=1,IF(F6&gt;0,EXP($B$6*(LN('AS08'!K7)+($B$8*'AS08'!N7))+$C$6*(LN('BA08'!E7)+($B$8*'BA08'!I7))+$D$6*(LN('CB08'!E7)+($B$8*'CB08'!J7))+$E$6*(LN('CY08'!F7)+($B$8*'CY08'!I7))+$F$6*(LN('I08'!E7)+($B$8*'I08'!F7))),EXP($B$6*(LN('AS08'!K7)+($B$8*'AS08'!N7))+$C$6*(LN('BA08'!E7)+($B$8*'BA08'!I7))+$D$6*(LN('CB08'!E7)+($B$8*'CB08'!J7))+$E$6*(LN('CY08'!F7)+($B$8*'CY08'!I7)))),IF(F6&gt;0,EXP($B$6*(LN('AS08'!K7)+($B$8*'AS08'!N7))+$C$6*(LN('BA08'!E7)+($B$8*'BA08'!K7))+$D$6*(LN('CB08'!E7)+($B$8*'CB08'!J7))+$E$6*(LN('CY08'!F7)+($B$8*'CY08'!I7))+$F$6*(LN('I08'!E7)+($B$8*'I08'!F7))),EXP($B$6*(LN('AS08'!K7)+($B$8*'AS08'!N7))+$C$6*(LN('BA08'!E7)+($B$8*'BA08'!K7))+$D$6*(LN('CB08'!E7)+($B$8*'CB08'!J7))+$E$6*(LN('CY08'!F7)+($B$8*'CY08'!I7))))))</f>
        <v>0.29552093896654646</v>
      </c>
      <c r="G14" s="28">
        <f>IF(A43&lt;450,IF($A$25=1,IF(F6&gt;0,EXP($B$6/SUM($B$6:$E$6)*(LN('AS08'!K7)-($B$8*'AS08'!N7))+$C$6/SUM($B$6:$E$6)*(LN('BA08'!E7)-($B$8*'BA08'!I7))+$D$6/SUM($B$6:$E$6)*(LN('CB08'!E7)-($B$8*'CB08'!J7))+$E$6/SUM($B$6:$E$6)*(LN('CY08'!F7)-($B$8*'CY08'!I7))),EXP($B$6/SUM($B$6:$E$6)*(LN('AS08'!K7)-($B$8*'AS08'!N7))+$C$6/SUM($B$6:$E$6)*(LN('BA08'!E7)-($B$8*'BA08'!I7))+$D$6/SUM($B$6:$E$6)*(LN('CB08'!E7)-($B$8*'CB08'!J7))+$E$6/SUM($B$6:$E$6)*(LN('CY08'!F7)-($B$8*'CY08'!I7)))),IF(F6&gt;0,EXP($B$6/SUM($B$6:$E$6)*(LN('AS08'!K7)-($B$8*'AS08'!N7))+$C$6/SUM($B$6:$E$6)*(LN('BA08'!E7)-($B$8*'BA08'!K7))+$D$6/SUM($B$6:$E$6)*(LN('CB08'!E7)-($B$8*'CB08'!J7))+$E$6/SUM($B$6:$E$6)*(LN('CY08'!F7)-($B$8*'CY08'!I7))),EXP($B$6/SUM($B$6:$E$6)*(LN('AS08'!K7)-($B$8*'AS08'!N7))+$C$6/SUM($B$6:$E$6)*(LN('BA08'!E7)-($B$8*'BA08'!K7))+$D$6/SUM($B$6:$E$6)*(LN('CB08'!E7)-($B$8*'CB08'!J7))+$E$6/SUM($B$6:$E$6)*(LN('CY08'!F7)-($B$8*'CY08'!I7))))),IF($A$25=1,IF(F6&gt;0,EXP($B$6*(LN('AS08'!K7)-($B$8*'AS08'!N7))+$C$6*(LN('BA08'!E7)-($B$8*'BA08'!I7))+$D$6*(LN('CB08'!E7)-($B$8*'CB08'!J7))+$E$6*(LN('CY08'!F7)-($B$8*'CY08'!I7))+$F$6*(LN('I08'!E7)-($B$8*'I08'!F7))),EXP($B$6*(LN('AS08'!K7)-($B$8*'AS08'!N7))+$C$6*(LN('BA08'!E7)-($B$8*'BA08'!I7))+$D$6*(LN('CB08'!E7)-($B$8*'CB08'!J7))+$E$6*(LN('CY08'!F7)-($B$8*'CY08'!I7)))),IF(F6&gt;0,EXP($B$6*(LN('AS08'!K7)-($B$8*'AS08'!N7))+$C$6*(LN('BA08'!E7)-($B$8*'BA08'!K7))+$D$6*(LN('CB08'!E7)-($B$8*'CB08'!J7))+$E$6*(LN('CY08'!F7)-($B$8*'CY08'!I7))+$F$6*(LN('I08'!E7)-($B$8*'I08'!F7))),EXP($B$6*(LN('AS08'!K7)-($B$8*'AS08'!N7))+$C$6*(LN('BA08'!E7)-($B$8*'BA08'!K7))+$D$6*(LN('CB08'!E7)-($B$8*'CB08'!J7))+$E$6*(LN('CY08'!F7)-($B$8*'CY08'!I7))))))</f>
        <v>0.10068962151289147</v>
      </c>
      <c r="H14" s="28">
        <f>(E14*980)/(2*PI()/D14)^2</f>
        <v>1.7128242912399158E-3</v>
      </c>
      <c r="I14" s="28"/>
      <c r="J14" s="28"/>
      <c r="K14" s="28"/>
      <c r="L14" s="14"/>
      <c r="M14" s="14"/>
      <c r="N14" s="14"/>
      <c r="O14" s="2"/>
    </row>
    <row r="15" spans="1:15" ht="15.75" customHeight="1">
      <c r="A15" s="90" t="s">
        <v>261</v>
      </c>
      <c r="B15" s="68"/>
      <c r="C15" s="1"/>
      <c r="D15" s="26">
        <v>0.03</v>
      </c>
      <c r="E15" s="28">
        <f>IF(A43&lt;450,IF(F6&gt;0,EXP($B$6/SUM($B$6:$E$6)*LN('AS08'!K8)+$C$6/SUM($B$6:$E$6)*LN('BA08'!E8)+$D$6/SUM($B$6:$E$6)*LN('CB08'!E8)+$E$6/SUM($B$6:$E$6)*LN('CY08'!F8)),EXP($B$6/SUM($B$6:$E$6)*LN('AS08'!K8)+$C$6/SUM($B$6:$E$6)*LN('BA08'!E8)+$D$6/SUM($B$6:$E$6)*LN('CB08'!E8)+$E$6/SUM($B$6:$E$6)*LN('CY08'!F8))),IF(F6&gt;0,EXP($B$6*LN('AS08'!K8)+$C$6*LN('BA08'!E8)+$D$6*LN('CB08'!E8)+$E$6*LN('CY08'!F8)+$F$6*LN('I08'!E8)),EXP($B$6*LN('AS08'!K8)+$C$6*LN('BA08'!E8)+$D$6*LN('CB08'!E8)+$E$6*LN('CY08'!F8))))</f>
        <v>0.17977204246119741</v>
      </c>
      <c r="F15" s="28">
        <f>IF(A43&lt;450,IF($A$25=1,IF(F6&gt;0,EXP($B$6/SUM($B$6:$E$6)*(LN('AS08'!K8)+($B$8*'AS08'!N8))+$C$6/SUM($B$6:$E$6)*(LN('BA08'!E8)+($B$8*'BA08'!I8))+$D$6/SUM($B$6:$E$6)*(LN('CB08'!E8)+($B$8*'CB08'!J8))+$E$6/SUM($B$6:$E$6)*(LN('CY08'!F8)+($B$8*'CY08'!I8))),EXP($B$6/SUM($B$6:$E$6)*(LN('AS08'!K8)+($B$8*'AS08'!N8))+$C$6/SUM($B$6:$E$6)*(LN('BA08'!E8)+($B$8*'BA08'!I8))+$D$6/SUM($B$6:$E$6)*(LN('CB08'!E8)+($B$8*'CB08'!J8))+$E$6/SUM($B$6:$E$6)*(LN('CY08'!F8)+($B$8*'CY08'!I8)))),IF(F6&gt;0,EXP($B$6/SUM($B$6:$E$6)*(LN('AS08'!K8)+($B$8*'AS08'!N8))+$C$6/SUM($B$6:$E$6)*(LN('BA08'!E8)+($B$8*'BA08'!K8))+$D$6/SUM($B$6:$E$6)*(LN('CB08'!E8)+($B$8*'CB08'!J8))+$E$6/SUM($B$6:$E$6)*(LN('CY08'!F8)+($B$8*'CY08'!I8))),EXP($B$6/SUM($B$6:$E$6)*(LN('AS08'!K8)+($B$8*'AS08'!N8))+$C$6/SUM($B$6:$E$6)*(LN('BA08'!E8)+($B$8*'BA08'!K8))+$D$6/SUM($B$6:$E$6)*(LN('CB08'!E8)+($B$8*'CB08'!J8))+$E$6/SUM($B$6:$E$6)*(LN('CY08'!F8)+($B$8*'CY08'!I8))))),IF($A$25=1,IF(F6&gt;0,EXP($B$6*(LN('AS08'!K8)+($B$8*'AS08'!N8))+$C$6*(LN('BA08'!E8)+($B$8*'BA08'!I8))+$D$6*(LN('CB08'!E8)+($B$8*'CB08'!J8))+$E$6*(LN('CY08'!F8)+($B$8*'CY08'!I8))+$F$6*(LN('I08'!E8)+($B$8*'I08'!F8))),EXP($B$6*(LN('AS08'!K8)+($B$8*'AS08'!N8))+$C$6*(LN('BA08'!E8)+($B$8*'BA08'!I8))+$D$6*(LN('CB08'!E8)+($B$8*'CB08'!J8))+$E$6*(LN('CY08'!F8)+($B$8*'CY08'!I8)))),IF(F6&gt;0,EXP($B$6*(LN('AS08'!K8)+($B$8*'AS08'!N8))+$C$6*(LN('BA08'!E8)+($B$8*'BA08'!K8))+$D$6*(LN('CB08'!E8)+($B$8*'CB08'!J8))+$E$6*(LN('CY08'!F8)+($B$8*'CY08'!I8))+$F$6*(LN('I08'!E8)+($B$8*'I08'!F8))),EXP($B$6*(LN('AS08'!K8)+($B$8*'AS08'!N8))+$C$6*(LN('BA08'!E8)+($B$8*'BA08'!K8))+$D$6*(LN('CB08'!E8)+($B$8*'CB08'!J8))+$E$6*(LN('CY08'!F8)+($B$8*'CY08'!I8))))))</f>
        <v>0.31018069430723966</v>
      </c>
      <c r="G15" s="28">
        <f>IF(A43&lt;450,IF($A$25=1,IF(F6&gt;0,EXP($B$6/SUM($B$6:$E$6)*(LN('AS08'!K8)-($B$8*'AS08'!N8))+$C$6/SUM($B$6:$E$6)*(LN('BA08'!E8)-($B$8*'BA08'!I8))+$D$6/SUM($B$6:$E$6)*(LN('CB08'!E8)-($B$8*'CB08'!J8))+$E$6/SUM($B$6:$E$6)*(LN('CY08'!F8)-($B$8*'CY08'!I8))),EXP($B$6/SUM($B$6:$E$6)*(LN('AS08'!K8)-($B$8*'AS08'!N8))+$C$6/SUM($B$6:$E$6)*(LN('BA08'!E8)-($B$8*'BA08'!I8))+$D$6/SUM($B$6:$E$6)*(LN('CB08'!E8)-($B$8*'CB08'!J8))+$E$6/SUM($B$6:$E$6)*(LN('CY08'!F8)-($B$8*'CY08'!I8)))),IF(F6&gt;0,EXP($B$6/SUM($B$6:$E$6)*(LN('AS08'!K8)-($B$8*'AS08'!N8))+$C$6/SUM($B$6:$E$6)*(LN('BA08'!E8)-($B$8*'BA08'!K8))+$D$6/SUM($B$6:$E$6)*(LN('CB08'!E8)-($B$8*'CB08'!J8))+$E$6/SUM($B$6:$E$6)*(LN('CY08'!F8)-($B$8*'CY08'!I8))),EXP($B$6/SUM($B$6:$E$6)*(LN('AS08'!K8)-($B$8*'AS08'!N8))+$C$6/SUM($B$6:$E$6)*(LN('BA08'!E8)-($B$8*'BA08'!K8))+$D$6/SUM($B$6:$E$6)*(LN('CB08'!E8)-($B$8*'CB08'!J8))+$E$6/SUM($B$6:$E$6)*(LN('CY08'!F8)-($B$8*'CY08'!I8))))),IF($A$25=1,IF(F6&gt;0,EXP($B$6*(LN('AS08'!K8)-($B$8*'AS08'!N8))+$C$6*(LN('BA08'!E8)-($B$8*'BA08'!I8))+$D$6*(LN('CB08'!E8)-($B$8*'CB08'!J8))+$E$6*(LN('CY08'!F8)-($B$8*'CY08'!I8))+$F$6*(LN('I08'!E8)-($B$8*'I08'!F8))),EXP($B$6*(LN('AS08'!K8)-($B$8*'AS08'!N8))+$C$6*(LN('BA08'!E8)-($B$8*'BA08'!I8))+$D$6*(LN('CB08'!E8)-($B$8*'CB08'!J8))+$E$6*(LN('CY08'!F8)-($B$8*'CY08'!I8)))),IF(F6&gt;0,EXP($B$6*(LN('AS08'!K8)-($B$8*'AS08'!N8))+$C$6*(LN('BA08'!E8)-($B$8*'BA08'!K8))+$D$6*(LN('CB08'!E8)-($B$8*'CB08'!J8))+$E$6*(LN('CY08'!F8)-($B$8*'CY08'!I8))+$F$6*(LN('I08'!E8)-($B$8*'I08'!F8))),EXP($B$6*(LN('AS08'!K8)-($B$8*'AS08'!N8))+$C$6*(LN('BA08'!E8)-($B$8*'BA08'!K8))+$D$6*(LN('CB08'!E8)-($B$8*'CB08'!J8))+$E$6*(LN('CY08'!F8)-($B$8*'CY08'!I8))))))</f>
        <v>0.10419084051265616</v>
      </c>
      <c r="H15" s="28">
        <f>(E15*980)/(2*PI()/D15)^2</f>
        <v>4.0163449062171922E-3</v>
      </c>
      <c r="I15" s="28"/>
      <c r="J15" s="28"/>
      <c r="K15" s="28"/>
      <c r="L15" s="14"/>
      <c r="M15" s="14"/>
      <c r="N15" s="14"/>
      <c r="O15" s="2"/>
    </row>
    <row r="16" spans="1:15" ht="15.75" customHeight="1">
      <c r="A16" s="58">
        <v>25</v>
      </c>
      <c r="B16" s="68"/>
      <c r="C16" s="1"/>
      <c r="D16" s="26">
        <v>0.05</v>
      </c>
      <c r="E16" s="28">
        <f>IF(A43&lt;450,IF(F6&gt;0,EXP($B$6/SUM($B$6:$E$6)*LN('AS08'!K10)+$C$6/SUM($B$6:$E$6)*LN('BA08'!E9)+$D$6/SUM($B$6:$E$6)*LN('CB08'!E9)+$E$6/SUM($B$6:$E$6)*LN('CY08'!F10)),EXP($B$6/SUM($B$6:$E$6)*LN('AS08'!K10)+$C$6/SUM($B$6:$E$6)*LN('BA08'!E9)+$D$6/SUM($B$6:$E$6)*LN('CB08'!E9)+$E$6/SUM($B$6:$E$6)*LN('CY08'!F10))),IF(F6&gt;0,EXP($B$6*LN('AS08'!K10)+$C$6*LN('BA08'!E9)+$D$6*LN('CB08'!E9)+$E$6*LN('CY08'!F10)+$F$6*LN('I08'!E10)),EXP($B$6*LN('AS08'!K10)+$C$6*LN('BA08'!E9)+$D$6*LN('CB08'!E9)+$E$6*LN('CY08'!F10))))</f>
        <v>0.19111978679367114</v>
      </c>
      <c r="F16" s="28">
        <f>IF(A43&lt;450,IF($A$25=1,IF(F6&gt;0,EXP($B$6/SUM($B$6:$E$6)*(LN('AS08'!K10)+($B$8*'AS08'!N10))+$C$6/SUM($B$6:$E$6)*(LN('BA08'!E9)+($B$8*'BA08'!I9))+$D$6/SUM($B$6:$E$6)*(LN('CB08'!E9)+($B$8*'CB08'!J9))+$E$6/SUM($B$6:$E$6)*(LN('CY08'!F10)+($B$8*'CY08'!I10))),EXP($B$6/SUM($B$6:$E$6)*(LN('AS08'!K10)+($B$8*'AS08'!N10))+$C$6/SUM($B$6:$E$6)*(LN('BA08'!E9)+($B$8*'BA08'!I9))+$D$6/SUM($B$6:$E$6)*(LN('CB08'!E9)+($B$8*'CB08'!J9))+$E$6/SUM($B$6:$E$6)*(LN('CY08'!F10)+($B$8*'CY08'!I10)))),IF(F6&gt;0,EXP($B$6/SUM($B$6:$E$6)*(LN('AS08'!K10)+($B$8*'AS08'!N10))+$C$6/SUM($B$6:$E$6)*(LN('BA08'!E9)+($B$8*'BA08'!K9))+$D$6/SUM($B$6:$E$6)*(LN('CB08'!E9)+($B$8*'CB08'!J9))+$E$6/SUM($B$6:$E$6)*(LN('CY08'!F10)+($B$8*'CY08'!I10))),EXP($B$6/SUM($B$6:$E$6)*(LN('AS08'!K10)+($B$8*'AS08'!N10))+$C$6/SUM($B$6:$E$6)*(LN('BA08'!E9)+($B$8*'BA08'!K9))+$D$6/SUM($B$6:$E$6)*(LN('CB08'!E9)+($B$8*'CB08'!J9))+$E$6/SUM($B$6:$E$6)*(LN('CY08'!F10)+($B$8*'CY08'!I10))))),IF($A$25=1,IF(F6&gt;0,EXP($B$6*(LN('AS08'!K10)+($B$8*'AS08'!N10))+$C$6*(LN('BA08'!E9)+($B$8*'BA08'!I9))+$D$6*(LN('CB08'!E9)+($B$8*'CB08'!J9))+$E$6*(LN('CY08'!F10)+($B$8*'CY08'!I10))+$F$6*(LN('I08'!E10)+($B$8*'I08'!F10))),EXP($B$6*(LN('AS08'!K10)+($B$8*'AS08'!N10))+$C$6*(LN('BA08'!E9)+($B$8*'BA08'!I9))+$D$6*(LN('CB08'!E9)+($B$8*'CB08'!J9))+$E$6*(LN('CY08'!F10)+($B$8*'CY08'!I10)))),IF(F6&gt;0,EXP($B$6*(LN('AS08'!K10)+($B$8*'AS08'!N10))+$C$6*(LN('BA08'!E9)+($B$8*'BA08'!K9))+$D$6*(LN('CB08'!E9)+($B$8*'CB08'!J9))+$E$6*(LN('CY08'!F10)+($B$8*'CY08'!I10))+$F$6*(LN('I08'!E10)+($B$8*'I08'!F10))),EXP($B$6*(LN('AS08'!K10)+($B$8*'AS08'!N10))+$C$6*(LN('BA08'!E9)+($B$8*'BA08'!K9))+$D$6*(LN('CB08'!E9)+($B$8*'CB08'!J9))+$E$6*(LN('CY08'!F10)+($B$8*'CY08'!I10))))))</f>
        <v>0.33121665852807181</v>
      </c>
      <c r="G16" s="28">
        <f>IF(A43&lt;450,IF($A$25=1,IF(F6&gt;0,EXP($B$6/SUM($B$6:$E$6)*(LN('AS08'!K10)-($B$8*'AS08'!N10))+$C$6/SUM($B$6:$E$6)*(LN('BA08'!E9)-($B$8*'BA08'!I9))+$D$6/SUM($B$6:$E$6)*(LN('CB08'!E9)-($B$8*'CB08'!J9))+$E$6/SUM($B$6:$E$6)*(LN('CY08'!F10)-($B$8*'CY08'!I10))),EXP($B$6/SUM($B$6:$E$6)*(LN('AS08'!K10)-($B$8*'AS08'!N10))+$C$6/SUM($B$6:$E$6)*(LN('BA08'!E9)-($B$8*'BA08'!I9))+$D$6/SUM($B$6:$E$6)*(LN('CB08'!E9)-($B$8*'CB08'!J9))+$E$6/SUM($B$6:$E$6)*(LN('CY08'!F10)-($B$8*'CY08'!I10)))),IF(F6&gt;0,EXP($B$6/SUM($B$6:$E$6)*(LN('AS08'!K10)-($B$8*'AS08'!N10))+$C$6/SUM($B$6:$E$6)*(LN('BA08'!E9)-($B$8*'BA08'!K9))+$D$6/SUM($B$6:$E$6)*(LN('CB08'!E9)-($B$8*'CB08'!J9))+$E$6/SUM($B$6:$E$6)*(LN('CY08'!F10)-($B$8*'CY08'!I10))),EXP($B$6/SUM($B$6:$E$6)*(LN('AS08'!K10)-($B$8*'AS08'!N10))+$C$6/SUM($B$6:$E$6)*(LN('BA08'!E9)-($B$8*'BA08'!K9))+$D$6/SUM($B$6:$E$6)*(LN('CB08'!E9)-($B$8*'CB08'!J9))+$E$6/SUM($B$6:$E$6)*(LN('CY08'!F10)-($B$8*'CY08'!I10))))),IF($A$25=1,IF(F6&gt;0,EXP($B$6*(LN('AS08'!K10)-($B$8*'AS08'!N10))+$C$6*(LN('BA08'!E9)-($B$8*'BA08'!I9))+$D$6*(LN('CB08'!E9)-($B$8*'CB08'!J9))+$E$6*(LN('CY08'!F10)-($B$8*'CY08'!I10))+$F$6*(LN('I08'!E10)-($B$8*'I08'!F10))),EXP($B$6*(LN('AS08'!K10)-($B$8*'AS08'!N10))+$C$6*(LN('BA08'!E9)-($B$8*'BA08'!I9))+$D$6*(LN('CB08'!E9)-($B$8*'CB08'!J9))+$E$6*(LN('CY08'!F10)-($B$8*'CY08'!I10)))),IF(F6&gt;0,EXP($B$6*(LN('AS08'!K10)-($B$8*'AS08'!N10))+$C$6*(LN('BA08'!E9)-($B$8*'BA08'!K9))+$D$6*(LN('CB08'!E9)-($B$8*'CB08'!J9))+$E$6*(LN('CY08'!F10)-($B$8*'CY08'!I10))+$F$6*(LN('I08'!E10)-($B$8*'I08'!F10))),EXP($B$6*(LN('AS08'!K10)-($B$8*'AS08'!N10))+$C$6*(LN('BA08'!E9)-($B$8*'BA08'!K9))+$D$6*(LN('CB08'!E9)-($B$8*'CB08'!J9))+$E$6*(LN('CY08'!F10)-($B$8*'CY08'!I10))))))</f>
        <v>0.1102806032353066</v>
      </c>
      <c r="H16" s="28">
        <f>(E16*980)/(2*PI()/D16)^2</f>
        <v>1.1860745846936171E-2</v>
      </c>
      <c r="I16" s="28"/>
      <c r="J16" s="28"/>
      <c r="K16" s="28"/>
      <c r="L16" s="14"/>
      <c r="M16" s="14"/>
      <c r="N16" s="14"/>
      <c r="O16" s="2"/>
    </row>
    <row r="17" spans="1:15" ht="15.75" customHeight="1">
      <c r="A17" s="58"/>
      <c r="B17" s="68"/>
      <c r="C17" s="1"/>
      <c r="D17" s="76">
        <v>7.4999999999999997E-2</v>
      </c>
      <c r="E17" s="77">
        <f>IF(SUM(B6:E6)=0,"-",EXP($B$6/SUM($B$6:$E$6)*LN('AS08'!K11)+$C$6/SUM($B$6:$E$6)*LN('BA08'!E10)+$D$6/SUM($B$6:$E$6)*LN('CB08'!E10)+$E$6/SUM($B$6:$E$6)*LN('CY08'!F11)))</f>
        <v>0.22215275769581533</v>
      </c>
      <c r="F17" s="77">
        <f>IF(SUM(B6:E6)=0,"-",IF($A$25=1,EXP($B$6/SUM($B$6:$E$6)*(LN('AS08'!K11)+($B$8*'AS08'!N11))+$C$6/SUM($B$6:$E$6)*(LN('BA08'!E10)+($B$8*'BA08'!I10))+$D$6/SUM($B$6:$E$6)*(LN('CB08'!E10)+($B$8*'CB08'!J10))+$E$6/SUM($B$6:$E$6)*(LN('CY08'!F11)+($B$8*'CY08'!I11))),EXP($B$6/SUM($B$6:$E$6)*(LN('AS08'!K11)+($B$8*'AS08'!N11))+$C$6/SUM($B$6:$E$6)*(LN('BA08'!E10)+($B$8*'BA08'!K10))+$D$6/SUM($B$6:$E$6)*(LN('CB08'!E10)+($B$8*'CB08'!J10))+$E$6/SUM($B$6:$E$6)*(LN('CY08'!F11)+($B$8*'CY08'!I11)))))</f>
        <v>0.38752724133748473</v>
      </c>
      <c r="G17" s="77">
        <f>IF(SUM(B6:E6)=0,"-",IF($A$25=1,EXP($B$6/SUM($B$6:$E$6)*(LN('AS08'!K11)-($B$8*'AS08'!N11))+$C$6/SUM($B$6:$E$6)*(LN('BA08'!E10)-($B$8*'BA08'!I10))+$D$6/SUM($B$6:$E$6)*(LN('CB08'!E10)-($B$8*'CB08'!J10))+$E$6/SUM($B$6:$E$6)*(LN('CY08'!F11)-($B$8*'CY08'!I11))),EXP($B$6/SUM($B$6:$E$6)*(LN('AS08'!K11)-($B$8*'AS08'!N11))+$C$6/SUM($B$6:$E$6)*(LN('BA08'!E10)-($B$8*'BA08'!K10))+$D$6/SUM($B$6:$E$6)*(LN('CB08'!E10)-($B$8*'CB08'!J10))+$E$6/SUM($B$6:$E$6)*(LN('CY08'!F11)-($B$8*'CY08'!I11)))))</f>
        <v>0.1273506543218125</v>
      </c>
      <c r="H17" s="77">
        <f>IF(SUM(B6:E6)=0,"-",(E17*980)/(2*PI()/D17)^2)</f>
        <v>3.1019912932452862E-2</v>
      </c>
      <c r="I17" s="28"/>
      <c r="J17" s="28"/>
      <c r="K17" s="28"/>
      <c r="L17" s="14"/>
      <c r="M17" s="14"/>
      <c r="N17" s="14"/>
      <c r="O17" s="2"/>
    </row>
    <row r="18" spans="1:15" ht="15.75" customHeight="1">
      <c r="A18" s="90" t="s">
        <v>262</v>
      </c>
      <c r="B18" s="68"/>
      <c r="C18" s="1"/>
      <c r="D18" s="30">
        <v>0.1</v>
      </c>
      <c r="E18" s="28">
        <f>IF(A43&lt;450,IF(F6&gt;0,EXP($B$6/SUM($B$6:$E$6)*LN('AS08'!K12)+$C$6/SUM($B$6:$E$6)*LN('BA08'!E11)+$D$6/SUM($B$6:$E$6)*LN('CB08'!E11)+$E$6/SUM($B$6:$E$6)*LN('CY08'!F12)),EXP($B$6/SUM($B$6:$E$6)*LN('AS08'!K12)+$C$6/SUM($B$6:$E$6)*LN('BA08'!E11)+$D$6/SUM($B$6:$E$6)*LN('CB08'!E11)+$E$6/SUM($B$6:$E$6)*LN('CY08'!F12))),IF(F6&gt;0,EXP($B$6*LN('AS08'!K12)+$C$6*LN('BA08'!E11)+$D$6*LN('CB08'!E11)+$E$6*LN('CY08'!F12)+$F$6*LN('I08'!E11)),EXP($B$6*LN('AS08'!K12)+$C$6*LN('BA08'!E11)+$D$6*LN('CB08'!E11)+$E$6*LN('CY08'!F12))))</f>
        <v>0.26136853621096945</v>
      </c>
      <c r="F18" s="28">
        <f>IF(A43&lt;450,IF($A$25=1,IF(F6&gt;0,EXP($B$6/SUM($B$6:$E$6)*(LN('AS08'!K12)+($B$8*'AS08'!N12))+$C$6/SUM($B$6:$E$6)*(LN('BA08'!E11)+($B$8*'BA08'!I11))+$D$6/SUM($B$6:$E$6)*(LN('CB08'!E11)+($B$8*'CB08'!J11))+$E$6/SUM($B$6:$E$6)*(LN('CY08'!F12)+($B$8*'CY08'!I12))),EXP($B$6/SUM($B$6:$E$6)*(LN('AS08'!K12)+($B$8*'AS08'!N12))+$C$6/SUM($B$6:$E$6)*(LN('BA08'!E11)+($B$8*'BA08'!I11))+$D$6/SUM($B$6:$E$6)*(LN('CB08'!E11)+($B$8*'CB08'!J11))+$E$6/SUM($B$6:$E$6)*(LN('CY08'!F12)+($B$8*'CY08'!I12)))),IF(F6&gt;0,EXP($B$6/SUM($B$6:$E$6)*(LN('AS08'!K12)+($B$8*'AS08'!N12))+$C$6/SUM($B$6:$E$6)*(LN('BA08'!E11)+($B$8*'BA08'!K11))+$D$6/SUM($B$6:$E$6)*(LN('CB08'!E11)+($B$8*'CB08'!J11))+$E$6/SUM($B$6:$E$6)*(LN('CY08'!F12)+($B$8*'CY08'!I12))),EXP($B$6/SUM($B$6:$E$6)*(LN('AS08'!K12)+($B$8*'AS08'!N12))+$C$6/SUM($B$6:$E$6)*(LN('BA08'!E11)+($B$8*'BA08'!K11))+$D$6/SUM($B$6:$E$6)*(LN('CB08'!E11)+($B$8*'CB08'!J11))+$E$6/SUM($B$6:$E$6)*(LN('CY08'!F12)+($B$8*'CY08'!I12))))),IF($A$25=1,IF(F6&gt;0,EXP($B$6*(LN('AS08'!K12)+($B$8*'AS08'!N12))+$C$6*(LN('BA08'!E11)+($B$8*'BA08'!I11))+$D$6*(LN('CB08'!E11)+($B$8*'CB08'!J11))+$E$6*(LN('CY08'!F12)+($B$8*'CY08'!I12))+$F$6*(LN('I08'!E11)+($B$8*'I08'!F11))),EXP($B$6*(LN('AS08'!K12)+($B$8*'AS08'!N12))+$C$6*(LN('BA08'!E11)+($B$8*'BA08'!I11))+$D$6*(LN('CB08'!E11)+($B$8*'CB08'!J11))+$E$6*(LN('CY08'!F12)+($B$8*'CY08'!I12)))),IF(F6&gt;0,EXP($B$6*(LN('AS08'!K12)+($B$8*'AS08'!N12))+$C$6*(LN('BA08'!E11)+($B$8*'BA08'!K11))+$D$6*(LN('CB08'!E11)+($B$8*'CB08'!J11))+$E$6*(LN('CY08'!F12)+($B$8*'CY08'!I12))+$F$6*(LN('I08'!E11)+($B$8*'I08'!F11))),EXP($B$6*(LN('AS08'!K12)+($B$8*'AS08'!N12))+$C$6*(LN('BA08'!E11)+($B$8*'BA08'!K11))+$D$6*(LN('CB08'!E11)+($B$8*'CB08'!J11))+$E$6*(LN('CY08'!F12)+($B$8*'CY08'!I12))))))</f>
        <v>0.46000915898977468</v>
      </c>
      <c r="G18" s="28">
        <f>IF(A43&lt;450,IF($A$25=1,IF(F6&gt;0,EXP($B$6/SUM($B$6:$E$6)*(LN('AS08'!K12)-($B$8*'AS08'!N12))+$C$6/SUM($B$6:$E$6)*(LN('BA08'!E11)-($B$8*'BA08'!I11))+$D$6/SUM($B$6:$E$6)*(LN('CB08'!E11)-($B$8*'CB08'!J11))+$E$6/SUM($B$6:$E$6)*(LN('CY08'!F12)-($B$8*'CY08'!I12))),EXP($B$6/SUM($B$6:$E$6)*(LN('AS08'!K12)-($B$8*'AS08'!N12))+$C$6/SUM($B$6:$E$6)*(LN('BA08'!E11)-($B$8*'BA08'!I11))+$D$6/SUM($B$6:$E$6)*(LN('CB08'!E11)-($B$8*'CB08'!J11))+$E$6/SUM($B$6:$E$6)*(LN('CY08'!F12)-($B$8*'CY08'!I12)))),IF(F6&gt;0,EXP($B$6/SUM($B$6:$E$6)*(LN('AS08'!K12)-($B$8*'AS08'!N12))+$C$6/SUM($B$6:$E$6)*(LN('BA08'!E11)-($B$8*'BA08'!K11))+$D$6/SUM($B$6:$E$6)*(LN('CB08'!E11)-($B$8*'CB08'!J11))+$E$6/SUM($B$6:$E$6)*(LN('CY08'!F12)-($B$8*'CY08'!I12))),EXP($B$6/SUM($B$6:$E$6)*(LN('AS08'!K12)-($B$8*'AS08'!N12))+$C$6/SUM($B$6:$E$6)*(LN('BA08'!E11)-($B$8*'BA08'!K11))+$D$6/SUM($B$6:$E$6)*(LN('CB08'!E11)-($B$8*'CB08'!J11))+$E$6/SUM($B$6:$E$6)*(LN('CY08'!F12)-($B$8*'CY08'!I12))))),IF($A$25=1,IF(F6&gt;0,EXP($B$6*(LN('AS08'!K12)-($B$8*'AS08'!N12))+$C$6*(LN('BA08'!E11)-($B$8*'BA08'!I11))+$D$6*(LN('CB08'!E11)-($B$8*'CB08'!J11))+$E$6*(LN('CY08'!F12)-($B$8*'CY08'!I12))+$F$6*(LN('I08'!E11)-($B$8*'I08'!F11))),EXP($B$6*(LN('AS08'!K12)-($B$8*'AS08'!N12))+$C$6*(LN('BA08'!E11)-($B$8*'BA08'!I11))+$D$6*(LN('CB08'!E11)-($B$8*'CB08'!J11))+$E$6*(LN('CY08'!F12)-($B$8*'CY08'!I12)))),IF(F6&gt;0,EXP($B$6*(LN('AS08'!K12)-($B$8*'AS08'!N12))+$C$6*(LN('BA08'!E11)-($B$8*'BA08'!K11))+$D$6*(LN('CB08'!E11)-($B$8*'CB08'!J11))+$E$6*(LN('CY08'!F12)-($B$8*'CY08'!I12))+$F$6*(LN('I08'!E11)-($B$8*'I08'!F11))),EXP($B$6*(LN('AS08'!K12)-($B$8*'AS08'!N12))+$C$6*(LN('BA08'!E11)-($B$8*'BA08'!K11))+$D$6*(LN('CB08'!E11)-($B$8*'CB08'!J11))+$E$6*(LN('CY08'!F12)-($B$8*'CY08'!I12))))))</f>
        <v>0.14850467732226905</v>
      </c>
      <c r="H18" s="28">
        <f t="shared" ref="H18:H24" si="0">(E18*980)/(2*PI()/D18)^2</f>
        <v>6.4881315166613593E-2</v>
      </c>
      <c r="I18" s="28"/>
      <c r="J18" s="28"/>
      <c r="K18" s="28"/>
      <c r="L18" s="14"/>
      <c r="M18" s="14"/>
      <c r="N18" s="14"/>
      <c r="O18" s="2"/>
    </row>
    <row r="19" spans="1:15" ht="15.75" customHeight="1">
      <c r="A19" s="58">
        <v>25</v>
      </c>
      <c r="B19" s="68"/>
      <c r="C19" s="1"/>
      <c r="D19" s="30">
        <v>0.15</v>
      </c>
      <c r="E19" s="28">
        <f>IF(A43&lt;450,IF(F6&gt;0,EXP($B$6/SUM($B$6:$E$6)*LN('AS08'!K13)+$C$6/SUM($B$6:$E$6)*LN('BA08'!E12)+$D$6/SUM($B$6:$E$6)*LN('CB08'!E12)+$E$6/SUM($B$6:$E$6)*LN('CY08'!F13)),EXP($B$6/SUM($B$6:$E$6)*LN('AS08'!K13)+$C$6/SUM($B$6:$E$6)*LN('BA08'!E12)+$D$6/SUM($B$6:$E$6)*LN('CB08'!E12)+$E$6/SUM($B$6:$E$6)*LN('CY08'!F13))),IF(F6&gt;0,EXP($B$6*LN('AS08'!K13)+$C$6*LN('BA08'!E12)+$D$6*LN('CB08'!E12)+$E$6*LN('CY08'!F13)+$F$6*LN('I08'!E12)),EXP($B$6*LN('AS08'!K13)+$C$6*LN('BA08'!E12)+$D$6*LN('CB08'!E12)+$E$6*LN('CY08'!F13))))</f>
        <v>0.3381758868082409</v>
      </c>
      <c r="F19" s="28">
        <f>IF(A43&lt;450,IF($A$25=1,IF(F6&gt;0,EXP($B$6/SUM($B$6:$E$6)*(LN('AS08'!K13)+($B$8*'AS08'!N13))+$C$6/SUM($B$6:$E$6)*(LN('BA08'!E12)+($B$8*'BA08'!I12))+$D$6/SUM($B$6:$E$6)*(LN('CB08'!E12)+($B$8*'CB08'!J12))+$E$6/SUM($B$6:$E$6)*(LN('CY08'!F13)+($B$8*'CY08'!I13))),EXP($B$6/SUM($B$6:$E$6)*(LN('AS08'!K13)+($B$8*'AS08'!N13))+$C$6/SUM($B$6:$E$6)*(LN('BA08'!E12)+($B$8*'BA08'!I12))+$D$6/SUM($B$6:$E$6)*(LN('CB08'!E12)+($B$8*'CB08'!J12))+$E$6/SUM($B$6:$E$6)*(LN('CY08'!F13)+($B$8*'CY08'!I13)))),IF(F6&gt;0,EXP($B$6/SUM($B$6:$E$6)*(LN('AS08'!K13)+($B$8*'AS08'!N13))+$C$6/SUM($B$6:$E$6)*(LN('BA08'!E12)+($B$8*'BA08'!K12))+$D$6/SUM($B$6:$E$6)*(LN('CB08'!E12)+($B$8*'CB08'!J12))+$E$6/SUM($B$6:$E$6)*(LN('CY08'!F13)+($B$8*'CY08'!I13))),EXP($B$6/SUM($B$6:$E$6)*(LN('AS08'!K13)+($B$8*'AS08'!N13))+$C$6/SUM($B$6:$E$6)*(LN('BA08'!E12)+($B$8*'BA08'!K12))+$D$6/SUM($B$6:$E$6)*(LN('CB08'!E12)+($B$8*'CB08'!J12))+$E$6/SUM($B$6:$E$6)*(LN('CY08'!F13)+($B$8*'CY08'!I13))))),IF($A$25=1,IF(F6&gt;0,EXP($B$6*(LN('AS08'!K13)+($B$8*'AS08'!N13))+$C$6*(LN('BA08'!E12)+($B$8*'BA08'!I12))+$D$6*(LN('CB08'!E12)+($B$8*'CB08'!J12))+$E$6*(LN('CY08'!F13)+($B$8*'CY08'!I13))+$F$6*(LN('I08'!E12)+($B$8*'I08'!F12))),EXP($B$6*(LN('AS08'!K13)+($B$8*'AS08'!N13))+$C$6*(LN('BA08'!E12)+($B$8*'BA08'!I12))+$D$6*(LN('CB08'!E12)+($B$8*'CB08'!J12))+$E$6*(LN('CY08'!F13)+($B$8*'CY08'!I13)))),IF(F6&gt;0,EXP($B$6*(LN('AS08'!K13)+($B$8*'AS08'!N13))+$C$6*(LN('BA08'!E12)+($B$8*'BA08'!K12))+$D$6*(LN('CB08'!E12)+($B$8*'CB08'!J12))+$E$6*(LN('CY08'!F13)+($B$8*'CY08'!I13))+$F$6*(LN('I08'!E12)+($B$8*'I08'!F12))),EXP($B$6*(LN('AS08'!K13)+($B$8*'AS08'!N13))+$C$6*(LN('BA08'!E12)+($B$8*'BA08'!K12))+$D$6*(LN('CB08'!E12)+($B$8*'CB08'!J12))+$E$6*(LN('CY08'!F13)+($B$8*'CY08'!I13))))))</f>
        <v>0.60473599385544285</v>
      </c>
      <c r="G19" s="28">
        <f>IF(A43&lt;450,IF($A$25=1,IF(F6&gt;0,EXP($B$6/SUM($B$6:$E$6)*(LN('AS08'!K13)-($B$8*'AS08'!N13))+$C$6/SUM($B$6:$E$6)*(LN('BA08'!E12)-($B$8*'BA08'!I12))+$D$6/SUM($B$6:$E$6)*(LN('CB08'!E12)-($B$8*'CB08'!J12))+$E$6/SUM($B$6:$E$6)*(LN('CY08'!F13)-($B$8*'CY08'!I13))),EXP($B$6/SUM($B$6:$E$6)*(LN('AS08'!K13)-($B$8*'AS08'!N13))+$C$6/SUM($B$6:$E$6)*(LN('BA08'!E12)-($B$8*'BA08'!I12))+$D$6/SUM($B$6:$E$6)*(LN('CB08'!E12)-($B$8*'CB08'!J12))+$E$6/SUM($B$6:$E$6)*(LN('CY08'!F13)-($B$8*'CY08'!I13)))),IF(F6&gt;0,EXP($B$6/SUM($B$6:$E$6)*(LN('AS08'!K13)-($B$8*'AS08'!N13))+$C$6/SUM($B$6:$E$6)*(LN('BA08'!E12)-($B$8*'BA08'!K12))+$D$6/SUM($B$6:$E$6)*(LN('CB08'!E12)-($B$8*'CB08'!J12))+$E$6/SUM($B$6:$E$6)*(LN('CY08'!F13)-($B$8*'CY08'!I13))),EXP($B$6/SUM($B$6:$E$6)*(LN('AS08'!K13)-($B$8*'AS08'!N13))+$C$6/SUM($B$6:$E$6)*(LN('BA08'!E12)-($B$8*'BA08'!K12))+$D$6/SUM($B$6:$E$6)*(LN('CB08'!E12)-($B$8*'CB08'!J12))+$E$6/SUM($B$6:$E$6)*(LN('CY08'!F13)-($B$8*'CY08'!I13))))),IF($A$25=1,IF(F6&gt;0,EXP($B$6*(LN('AS08'!K13)-($B$8*'AS08'!N13))+$C$6*(LN('BA08'!E12)-($B$8*'BA08'!I12))+$D$6*(LN('CB08'!E12)-($B$8*'CB08'!J12))+$E$6*(LN('CY08'!F13)-($B$8*'CY08'!I13))+$F$6*(LN('I08'!E12)-($B$8*'I08'!F12))),EXP($B$6*(LN('AS08'!K13)-($B$8*'AS08'!N13))+$C$6*(LN('BA08'!E12)-($B$8*'BA08'!I12))+$D$6*(LN('CB08'!E12)-($B$8*'CB08'!J12))+$E$6*(LN('CY08'!F13)-($B$8*'CY08'!I13)))),IF(F6&gt;0,EXP($B$6*(LN('AS08'!K13)-($B$8*'AS08'!N13))+$C$6*(LN('BA08'!E12)-($B$8*'BA08'!K12))+$D$6*(LN('CB08'!E12)-($B$8*'CB08'!J12))+$E$6*(LN('CY08'!F13)-($B$8*'CY08'!I13))+$F$6*(LN('I08'!E12)-($B$8*'I08'!F12))),EXP($B$6*(LN('AS08'!K13)-($B$8*'AS08'!N13))+$C$6*(LN('BA08'!E12)-($B$8*'BA08'!K12))+$D$6*(LN('CB08'!E12)-($B$8*'CB08'!J12))+$E$6*(LN('CY08'!F13)-($B$8*'CY08'!I13))))))</f>
        <v>0.18911216064621697</v>
      </c>
      <c r="H19" s="28">
        <f t="shared" si="0"/>
        <v>0.188882400983029</v>
      </c>
      <c r="I19" s="28"/>
      <c r="J19" s="28"/>
      <c r="K19" s="28"/>
      <c r="L19" s="14"/>
      <c r="M19" s="14"/>
      <c r="N19" s="14"/>
      <c r="O19" s="2"/>
    </row>
    <row r="20" spans="1:15" ht="15.75" customHeight="1">
      <c r="A20" s="58"/>
      <c r="B20" s="68"/>
      <c r="C20" s="1"/>
      <c r="D20" s="78">
        <v>0.2</v>
      </c>
      <c r="E20" s="77">
        <f>IF(A43&lt;450,IF(F6&gt;0,EXP($B$6/SUM($B$6:$E$6)*LN('AS08'!K14)+$C$6/SUM($B$6:$E$6)*LN('BA08'!E13)+$D$6/SUM($B$6:$E$6)*LN('CB08'!E13)+$E$6/SUM($B$6:$E$6)*LN('CY08'!F14)),EXP($B$6/SUM($B$6:$E$6)*LN('AS08'!K14)+$C$6/SUM($B$6:$E$6)*LN('BA08'!E13)+$D$6/SUM($B$6:$E$6)*LN('CB08'!E13)+$E$6/SUM($B$6:$E$6)*LN('CY08'!F14))),IF(F6&gt;0,EXP($B$6*LN('AS08'!K14)+$C$6*LN('BA08'!E13)+$D$6*LN('CB08'!E13)+$E$6*LN('CY08'!F14)+$F$6*LN('I08'!E13)),EXP($B$6*LN('AS08'!K14)+$C$6*LN('BA08'!E13)+$D$6*LN('CB08'!E13)+$E$6*LN('CY08'!F14))))</f>
        <v>0.38499086093347268</v>
      </c>
      <c r="F20" s="77">
        <f>IF(A43&lt;450,IF($A$25=1,IF(F6&gt;0,EXP($B$6/SUM($B$6:$E$6)*(LN('AS08'!K14)+($B$8*'AS08'!N14))+$C$6/SUM($B$6:$E$6)*(LN('BA08'!E13)+($B$8*'BA08'!I13))+$D$6/SUM($B$6:$E$6)*(LN('CB08'!E13)+($B$8*'CB08'!J13))+$E$6/SUM($B$6:$E$6)*(LN('CY08'!F14)+($B$8*'CY08'!I14))),EXP($B$6/SUM($B$6:$E$6)*(LN('AS08'!K14)+($B$8*'AS08'!N14))+$C$6/SUM($B$6:$E$6)*(LN('BA08'!E13)+($B$8*'BA08'!I13))+$D$6/SUM($B$6:$E$6)*(LN('CB08'!E13)+($B$8*'CB08'!J13))+$E$6/SUM($B$6:$E$6)*(LN('CY08'!F14)+($B$8*'CY08'!I14)))),IF(F6&gt;0,EXP($B$6/SUM($B$6:$E$6)*(LN('AS08'!K14)+($B$8*'AS08'!N14))+$C$6/SUM($B$6:$E$6)*(LN('BA08'!E13)+($B$8*'BA08'!K13))+$D$6/SUM($B$6:$E$6)*(LN('CB08'!E13)+($B$8*'CB08'!J13))+$E$6/SUM($B$6:$E$6)*(LN('CY08'!F14)+($B$8*'CY08'!I14))),EXP($B$6/SUM($B$6:$E$6)*(LN('AS08'!K14)+($B$8*'AS08'!N14))+$C$6/SUM($B$6:$E$6)*(LN('BA08'!E13)+($B$8*'BA08'!K13))+$D$6/SUM($B$6:$E$6)*(LN('CB08'!E13)+($B$8*'CB08'!J13))+$E$6/SUM($B$6:$E$6)*(LN('CY08'!F14)+($B$8*'CY08'!I14))))),IF($A$25=1,IF(F6&gt;0,EXP($B$6*(LN('AS08'!K14)+($B$8*'AS08'!N14))+$C$6*(LN('BA08'!E13)+($B$8*'BA08'!I13))+$D$6*(LN('CB08'!E13)+($B$8*'CB08'!J13))+$E$6*(LN('CY08'!F14)+($B$8*'CY08'!I14))+$F$6*(LN('I08'!E13)+($B$8*'I08'!F13))),EXP($B$6*(LN('AS08'!K14)+($B$8*'AS08'!N14))+$C$6*(LN('BA08'!E13)+($B$8*'BA08'!I13))+$D$6*(LN('CB08'!E13)+($B$8*'CB08'!J13))+$E$6*(LN('CY08'!F14)+($B$8*'CY08'!I14)))),IF(F6&gt;0,EXP($B$6*(LN('AS08'!K14)+($B$8*'AS08'!N14))+$C$6*(LN('BA08'!E13)+($B$8*'BA08'!K13))+$D$6*(LN('CB08'!E13)+($B$8*'CB08'!J13))+$E$6*(LN('CY08'!F14)+($B$8*'CY08'!I14))+$F$6*(LN('I08'!E13)+($B$8*'I08'!F13))),EXP($B$6*(LN('AS08'!K14)+($B$8*'AS08'!N14))+$C$6*(LN('BA08'!E13)+($B$8*'BA08'!K13))+$D$6*(LN('CB08'!E13)+($B$8*'CB08'!J13))+$E$6*(LN('CY08'!F14)+($B$8*'CY08'!I14))))))</f>
        <v>0.69755505244843075</v>
      </c>
      <c r="G20" s="77">
        <f>IF(A43&lt;450,IF($A$25=1,IF(F6&gt;0,EXP($B$6/SUM($B$6:$E$6)*(LN('AS08'!K14)-($B$8*'AS08'!N14))+$C$6/SUM($B$6:$E$6)*(LN('BA08'!E13)-($B$8*'BA08'!I13))+$D$6/SUM($B$6:$E$6)*(LN('CB08'!E13)-($B$8*'CB08'!J13))+$E$6/SUM($B$6:$E$6)*(LN('CY08'!F14)-($B$8*'CY08'!I14))),EXP($B$6/SUM($B$6:$E$6)*(LN('AS08'!K14)-($B$8*'AS08'!N14))+$C$6/SUM($B$6:$E$6)*(LN('BA08'!E13)-($B$8*'BA08'!I13))+$D$6/SUM($B$6:$E$6)*(LN('CB08'!E13)-($B$8*'CB08'!J13))+$E$6/SUM($B$6:$E$6)*(LN('CY08'!F14)-($B$8*'CY08'!I14)))),IF(F6&gt;0,EXP($B$6/SUM($B$6:$E$6)*(LN('AS08'!K14)-($B$8*'AS08'!N14))+$C$6/SUM($B$6:$E$6)*(LN('BA08'!E13)-($B$8*'BA08'!K13))+$D$6/SUM($B$6:$E$6)*(LN('CB08'!E13)-($B$8*'CB08'!J13))+$E$6/SUM($B$6:$E$6)*(LN('CY08'!F14)-($B$8*'CY08'!I14))),EXP($B$6/SUM($B$6:$E$6)*(LN('AS08'!K14)-($B$8*'AS08'!N14))+$C$6/SUM($B$6:$E$6)*(LN('BA08'!E13)-($B$8*'BA08'!K13))+$D$6/SUM($B$6:$E$6)*(LN('CB08'!E13)-($B$8*'CB08'!J13))+$E$6/SUM($B$6:$E$6)*(LN('CY08'!F14)-($B$8*'CY08'!I14))))),IF($A$25=1,IF(F6&gt;0,EXP($B$6*(LN('AS08'!K14)-($B$8*'AS08'!N14))+$C$6*(LN('BA08'!E13)-($B$8*'BA08'!I13))+$D$6*(LN('CB08'!E13)-($B$8*'CB08'!J13))+$E$6*(LN('CY08'!F14)-($B$8*'CY08'!I14))+$F$6*(LN('I08'!E13)-($B$8*'I08'!F13))),EXP($B$6*(LN('AS08'!K14)-($B$8*'AS08'!N14))+$C$6*(LN('BA08'!E13)-($B$8*'BA08'!I13))+$D$6*(LN('CB08'!E13)-($B$8*'CB08'!J13))+$E$6*(LN('CY08'!F14)-($B$8*'CY08'!I14)))),IF(F6&gt;0,EXP($B$6*(LN('AS08'!K14)-($B$8*'AS08'!N14))+$C$6*(LN('BA08'!E13)-($B$8*'BA08'!K13))+$D$6*(LN('CB08'!E13)-($B$8*'CB08'!J13))+$E$6*(LN('CY08'!F14)-($B$8*'CY08'!I14))+$F$6*(LN('I08'!E13)-($B$8*'I08'!F13))),EXP($B$6*(LN('AS08'!K14)-($B$8*'AS08'!N14))+$C$6*(LN('BA08'!E13)-($B$8*'BA08'!K13))+$D$6*(LN('CB08'!E13)-($B$8*'CB08'!J13))+$E$6*(LN('CY08'!F14)-($B$8*'CY08'!I14))))))</f>
        <v>0.21248210084931474</v>
      </c>
      <c r="H20" s="77">
        <f t="shared" si="0"/>
        <v>0.38227575126836866</v>
      </c>
      <c r="I20" s="28"/>
      <c r="J20" s="28"/>
      <c r="K20" s="28"/>
      <c r="L20" s="14"/>
      <c r="M20" s="14"/>
      <c r="N20" s="14"/>
      <c r="O20" s="2"/>
    </row>
    <row r="21" spans="1:15" ht="15.75" customHeight="1">
      <c r="A21" s="90" t="s">
        <v>263</v>
      </c>
      <c r="B21" s="68"/>
      <c r="C21" s="1"/>
      <c r="D21" s="30">
        <v>0.25</v>
      </c>
      <c r="E21" s="28">
        <f>IF(A43&lt;450,IF(F6&gt;0,EXP($B$6/SUM($B$6:$E$6)*LN('AS08'!K15)+$C$6/SUM($B$6:$E$6)*LN('BA08'!E14)+$D$6/SUM($B$6:$E$6)*LN('CB08'!E14)+$E$6/SUM($B$6:$E$6)*LN('CY08'!F15)),EXP($B$6/SUM($B$6:$E$6)*LN('AS08'!K15)+$C$6/SUM($B$6:$E$6)*LN('BA08'!E14)+$D$6/SUM($B$6:$E$6)*LN('CB08'!E14)+$E$6/SUM($B$6:$E$6)*LN('CY08'!F15))),IF(F6&gt;0,EXP($B$6*LN('AS08'!K15)+$C$6*LN('BA08'!E14)+$D$6*LN('CB08'!E14)+$E$6*LN('CY08'!F15)+$F$6*LN('I08'!E14)),EXP($B$6*LN('AS08'!K15)+$C$6*LN('BA08'!E14)+$D$6*LN('CB08'!E14)+$E$6*LN('CY08'!F15))))</f>
        <v>0.40271854206942748</v>
      </c>
      <c r="F21" s="28">
        <f>IF(A43&lt;450,IF($A$25=1,IF(F6&gt;0,EXP($B$6/SUM($B$6:$E$6)*(LN('AS08'!K15)+($B$8*'AS08'!N15))+$C$6/SUM($B$6:$E$6)*(LN('BA08'!E14)+($B$8*'BA08'!I14))+$D$6/SUM($B$6:$E$6)*(LN('CB08'!E14)+($B$8*'CB08'!J14))+$E$6/SUM($B$6:$E$6)*(LN('CY08'!F15)+($B$8*'CY08'!I15))),EXP($B$6/SUM($B$6:$E$6)*(LN('AS08'!K15)+($B$8*'AS08'!N15))+$C$6/SUM($B$6:$E$6)*(LN('BA08'!E14)+($B$8*'BA08'!I14))+$D$6/SUM($B$6:$E$6)*(LN('CB08'!E14)+($B$8*'CB08'!J14))+$E$6/SUM($B$6:$E$6)*(LN('CY08'!F15)+($B$8*'CY08'!I15)))),IF(F6&gt;0,EXP($B$6/SUM($B$6:$E$6)*(LN('AS08'!K15)+($B$8*'AS08'!N15))+$C$6/SUM($B$6:$E$6)*(LN('BA08'!E14)+($B$8*'BA08'!K14))+$D$6/SUM($B$6:$E$6)*(LN('CB08'!E14)+($B$8*'CB08'!J14))+$E$6/SUM($B$6:$E$6)*(LN('CY08'!F15)+($B$8*'CY08'!I15))),EXP($B$6/SUM($B$6:$E$6)*(LN('AS08'!K15)+($B$8*'AS08'!N15))+$C$6/SUM($B$6:$E$6)*(LN('BA08'!E14)+($B$8*'BA08'!K14))+$D$6/SUM($B$6:$E$6)*(LN('CB08'!E14)+($B$8*'CB08'!J14))+$E$6/SUM($B$6:$E$6)*(LN('CY08'!F15)+($B$8*'CY08'!I15))))),IF($A$25=1,IF(F6&gt;0,EXP($B$6*(LN('AS08'!K15)+($B$8*'AS08'!N15))+$C$6*(LN('BA08'!E14)+($B$8*'BA08'!I14))+$D$6*(LN('CB08'!E14)+($B$8*'CB08'!J14))+$E$6*(LN('CY08'!F15)+($B$8*'CY08'!I15))+$F$6*(LN('I08'!E14)+($B$8*'I08'!F14))),EXP($B$6*(LN('AS08'!K15)+($B$8*'AS08'!N15))+$C$6*(LN('BA08'!E14)+($B$8*'BA08'!I14))+$D$6*(LN('CB08'!E14)+($B$8*'CB08'!J14))+$E$6*(LN('CY08'!F15)+($B$8*'CY08'!I15)))),IF(F6&gt;0,EXP($B$6*(LN('AS08'!K15)+($B$8*'AS08'!N15))+$C$6*(LN('BA08'!E14)+($B$8*'BA08'!K14))+$D$6*(LN('CB08'!E14)+($B$8*'CB08'!J14))+$E$6*(LN('CY08'!F15)+($B$8*'CY08'!I15))+$F$6*(LN('I08'!E14)+($B$8*'I08'!F14))),EXP($B$6*(LN('AS08'!K15)+($B$8*'AS08'!N15))+$C$6*(LN('BA08'!E14)+($B$8*'BA08'!K14))+$D$6*(LN('CB08'!E14)+($B$8*'CB08'!J14))+$E$6*(LN('CY08'!F15)+($B$8*'CY08'!I15))))))</f>
        <v>0.73210769686616028</v>
      </c>
      <c r="G21" s="28">
        <f>IF(A43&lt;450,IF($A$25=1,IF(F6&gt;0,EXP($B$6/SUM($B$6:$E$6)*(LN('AS08'!K15)-($B$8*'AS08'!N15))+$C$6/SUM($B$6:$E$6)*(LN('BA08'!E14)-($B$8*'BA08'!I14))+$D$6/SUM($B$6:$E$6)*(LN('CB08'!E14)-($B$8*'CB08'!J14))+$E$6/SUM($B$6:$E$6)*(LN('CY08'!F15)-($B$8*'CY08'!I15))),EXP($B$6/SUM($B$6:$E$6)*(LN('AS08'!K15)-($B$8*'AS08'!N15))+$C$6/SUM($B$6:$E$6)*(LN('BA08'!E14)-($B$8*'BA08'!I14))+$D$6/SUM($B$6:$E$6)*(LN('CB08'!E14)-($B$8*'CB08'!J14))+$E$6/SUM($B$6:$E$6)*(LN('CY08'!F15)-($B$8*'CY08'!I15)))),IF(F6&gt;0,EXP($B$6/SUM($B$6:$E$6)*(LN('AS08'!K15)-($B$8*'AS08'!N15))+$C$6/SUM($B$6:$E$6)*(LN('BA08'!E14)-($B$8*'BA08'!K14))+$D$6/SUM($B$6:$E$6)*(LN('CB08'!E14)-($B$8*'CB08'!J14))+$E$6/SUM($B$6:$E$6)*(LN('CY08'!F15)-($B$8*'CY08'!I15))),EXP($B$6/SUM($B$6:$E$6)*(LN('AS08'!K15)-($B$8*'AS08'!N15))+$C$6/SUM($B$6:$E$6)*(LN('BA08'!E14)-($B$8*'BA08'!K14))+$D$6/SUM($B$6:$E$6)*(LN('CB08'!E14)-($B$8*'CB08'!J14))+$E$6/SUM($B$6:$E$6)*(LN('CY08'!F15)-($B$8*'CY08'!I15))))),IF($A$25=1,IF(F6&gt;0,EXP($B$6*(LN('AS08'!K15)-($B$8*'AS08'!N15))+$C$6*(LN('BA08'!E14)-($B$8*'BA08'!I14))+$D$6*(LN('CB08'!E14)-($B$8*'CB08'!J14))+$E$6*(LN('CY08'!F15)-($B$8*'CY08'!I15))+$F$6*(LN('I08'!E14)-($B$8*'I08'!F14))),EXP($B$6*(LN('AS08'!K15)-($B$8*'AS08'!N15))+$C$6*(LN('BA08'!E14)-($B$8*'BA08'!I14))+$D$6*(LN('CB08'!E14)-($B$8*'CB08'!J14))+$E$6*(LN('CY08'!F15)-($B$8*'CY08'!I15)))),IF(F6&gt;0,EXP($B$6*(LN('AS08'!K15)-($B$8*'AS08'!N15))+$C$6*(LN('BA08'!E14)-($B$8*'BA08'!K14))+$D$6*(LN('CB08'!E14)-($B$8*'CB08'!J14))+$E$6*(LN('CY08'!F15)-($B$8*'CY08'!I15))+$F$6*(LN('I08'!E14)-($B$8*'I08'!F14))),EXP($B$6*(LN('AS08'!K15)-($B$8*'AS08'!N15))+$C$6*(LN('BA08'!E14)-($B$8*'BA08'!K14))+$D$6*(LN('CB08'!E14)-($B$8*'CB08'!J14))+$E$6*(LN('CY08'!F15)-($B$8*'CY08'!I15))))))</f>
        <v>0.22152782277902267</v>
      </c>
      <c r="H21" s="28">
        <f t="shared" si="0"/>
        <v>0.62481001515698709</v>
      </c>
      <c r="I21" s="28"/>
      <c r="J21" s="28"/>
      <c r="K21" s="28"/>
      <c r="L21" s="14"/>
      <c r="M21" s="14"/>
      <c r="N21" s="14"/>
      <c r="O21" s="2"/>
    </row>
    <row r="22" spans="1:15" ht="15.75" customHeight="1">
      <c r="A22" s="58">
        <v>25</v>
      </c>
      <c r="B22" s="83"/>
      <c r="C22" s="1"/>
      <c r="D22" s="30">
        <v>0.3</v>
      </c>
      <c r="E22" s="28">
        <f>IF(A43&lt;450,IF(F6&gt;0,EXP($B$6/SUM($B$6:$E$6)*LN('AS08'!K16)+$C$6/SUM($B$6:$E$6)*LN('BA08'!E15)+$D$6/SUM($B$6:$E$6)*LN('CB08'!E15)+$E$6/SUM($B$6:$E$6)*LN('CY08'!F16)),EXP($B$6/SUM($B$6:$E$6)*LN('AS08'!K16)+$C$6/SUM($B$6:$E$6)*LN('BA08'!E15)+$D$6*SUM($B$6:$E$6)*LN('CB08'!E15)+$E$6/SUM($B$6:$E$6)*LN('CY08'!F16))),IF(F6&gt;0,EXP($B$6*LN('AS08'!K16)+$C$6*LN('BA08'!E15)+$D$6*LN('CB08'!E15)+$E$6*LN('CY08'!F16)+$F$6*LN('I08'!E15)),EXP($B$6*LN('AS08'!K16)+$C$6*LN('BA08'!E15)+$D$6*LN('CB08'!E15)+$E$6*LN('CY08'!F16))))</f>
        <v>0.38807572522151029</v>
      </c>
      <c r="F22" s="28">
        <f>IF(A43&lt;450,IF($A$25=1,IF(F6&gt;0,EXP($B$6/SUM($B$6:$E$6)*(LN('AS08'!K16)+($B$8*'AS08'!N16))+$C$6/SUM($B$6:$E$6)*(LN('BA08'!E15)+($B$8*'BA08'!I15))+$D$6/SUM($B$6:$E$6)*(LN('CB08'!E15)+($B$8*'CB08'!J15))+$E$6/SUM($B$6:$E$6)*(LN('CY08'!F16)+($B$8*'CY08'!I16))),EXP($B$6/SUM($B$6:$E$6)*(LN('AS08'!K16)+($B$8*'AS08'!N16))+$C$6/SUM($B$6:$E$6)*(LN('BA08'!E15)+($B$8*'BA08'!I15))+$D$6/SUM($B$6:$E$6)*(LN('CB08'!E15)+($B$8*'CB08'!J15))+$E$6/SUM($B$6:$E$6)*(LN('CY08'!F16)+($B$8*'CY08'!I16)))),IF(F6&gt;0,EXP($B$6/SUM($B$6:$E$6)*(LN('AS08'!K16)+($B$8*'AS08'!N16))+$C$6/SUM($B$6:$E$6)*(LN('BA08'!E15)+($B$8*'BA08'!K15))+$D$6/SUM($B$6:$E$6)*(LN('CB08'!E15)+($B$8*'CB08'!J15))+$E$6/SUM($B$6:$E$6)*(LN('CY08'!F16)+($B$8*'CY08'!I16))),EXP($B$6/SUM($B$6:$E$6)*(LN('AS08'!K16)+($B$8*'AS08'!N16))+$C$6/SUM($B$6:$E$6)*(LN('BA08'!E15)+($B$8*'BA08'!K15))+$D$6/SUM($B$6:$E$6)*(LN('CB08'!E15)+($B$8*'CB08'!J15))+$E$6/SUM($B$6:$E$6)*(LN('CY08'!F16)+($B$8*'CY08'!I16))))),IF($A$25=1,IF(F6&gt;0,EXP($B$6*(LN('AS08'!K16)+($B$8*'AS08'!N16))+$C$6*(LN('BA08'!E15)+($B$8*'BA08'!I15))+$D$6*(LN('CB08'!E15)+($B$8*'CB08'!J15))+$E$6*(LN('CY08'!F16)+($B$8*'CY08'!I16))+$F$6*(LN('I08'!E15)+($B$8*'I08'!F15))),EXP($B$6*(LN('AS08'!K16)+($B$8*'AS08'!N16))+$C$6*(LN('BA08'!E15)+($B$8*'BA08'!I15))+$D$6*(LN('CB08'!E15)+($B$8*'CB08'!J15))+$E$6*(LN('CY08'!F16)+($B$8*'CY08'!I16)))),IF(F6&gt;0,EXP($B$6*(LN('AS08'!K16)+($B$8*'AS08'!N16))+$C$6*(LN('BA08'!E15)+($B$8*'BA08'!K15))+$D$6*(LN('CB08'!E15)+($B$8*'CB08'!J15))+$E$6*(LN('CY08'!F16)+($B$8*'CY08'!I16))+$F$6*(LN('I08'!E15)+($B$8*'I08'!F15))),EXP($B$6*(LN('AS08'!K16)+($B$8*'AS08'!N16))+$C$6*(LN('BA08'!E15)+($B$8*'BA08'!K15))+$D$6*(LN('CB08'!E15)+($B$8*'CB08'!J15))+$E$6*(LN('CY08'!F16)+($B$8*'CY08'!I16))))))</f>
        <v>0.70784227042329306</v>
      </c>
      <c r="G22" s="28">
        <f>IF(A43&lt;450,IF($A$25=1,IF(F6&gt;0,EXP($B$6/SUM($B$6:$E$6)*(LN('AS08'!K16)-($B$8*'AS08'!N16))+$C$6/SUM($B$6:$E$6)*(LN('BA08'!E15)-($B$8*'BA08'!I15))+$D$6/SUM($B$6:$E$6)*(LN('CB08'!E15)-($B$8*'CB08'!J15))+$E$6/SUM($B$6:$E$6)*(LN('CY08'!F16)-($B$8*'CY08'!I16))),EXP($B$6/SUM($B$6:$E$6)*(LN('AS08'!K16)-($B$8*'AS08'!N16))+$C$6/SUM($B$6:$E$6)*(LN('BA08'!E15)-($B$8*'BA08'!I15))+$D$6/SUM($B$6:$E$6)*(LN('CB08'!E15)-($B$8*'CB08'!J15))+$E$6/SUM($B$6:$E$6)*(LN('CY08'!F16)-($B$8*'CY08'!I16)))),IF(F6&gt;0,EXP($B$6/SUM($B$6:$E$6)*(LN('AS08'!K16)-($B$8*'AS08'!N16))+$C$6/SUM($B$6:$E$6)*(LN('BA08'!E15)-($B$8*'BA08'!K15))+$D$6/SUM($B$6:$E$6)*(LN('CB08'!E15)-($B$8*'CB08'!J15))+$E$6/SUM($B$6:$E$6)*(LN('CY08'!F16)-($B$8*'CY08'!I16))),EXP($B$6/SUM($B$6:$E$6)*(LN('AS08'!K16)-($B$8*'AS08'!N16))+$C$6/SUM($B$6:$E$6)*(LN('BA08'!E15)-($B$8*'BA08'!K15))+$D$6/SUM($B$6:$E$6)*(LN('CB08'!E15)-($B$8*'CB08'!J15))+$E$6/SUM($B$6:$E$6)*(LN('CY08'!F16)-($B$8*'CY08'!I16))))),IF($A$25=1,IF(F6&gt;0,EXP($B$6*(LN('AS08'!K16)-($B$8*'AS08'!N16))+$C$6*(LN('BA08'!E15)-($B$8*'BA08'!I15))+$D$6*(LN('CB08'!E15)-($B$8*'CB08'!J15))+$E$6*(LN('CY08'!F16)-($B$8*'CY08'!I16))+$F$6*(LN('I08'!E15)-($B$8*'I08'!F15))),EXP($B$6*(LN('AS08'!K16)-($B$8*'AS08'!N16))+$C$6*(LN('BA08'!E15)-($B$8*'BA08'!I15))+$D$6*(LN('CB08'!E15)-($B$8*'CB08'!J15))+$E$6*(LN('CY08'!F16)-($B$8*'CY08'!I16)))),IF(F6&gt;0,EXP($B$6*(LN('AS08'!K16)-($B$8*'AS08'!N16))+$C$6*(LN('BA08'!E15)-($B$8*'BA08'!K15))+$D$6*(LN('CB08'!E15)-($B$8*'CB08'!J15))+$E$6*(LN('CY08'!F16)-($B$8*'CY08'!I16))+$F$6*(LN('I08'!E15)-($B$8*'I08'!F15))),EXP($B$6*(LN('AS08'!K16)-($B$8*'AS08'!N16))+$C$6*(LN('BA08'!E15)-($B$8*'BA08'!K15))+$D$6*(LN('CB08'!E15)-($B$8*'CB08'!J15))+$E$6*(LN('CY08'!F16)-($B$8*'CY08'!I16))))))</f>
        <v>0.21276317450798748</v>
      </c>
      <c r="H22" s="28">
        <f t="shared" si="0"/>
        <v>0.86701243468176026</v>
      </c>
      <c r="I22" s="28"/>
      <c r="J22" s="28"/>
      <c r="K22" s="28"/>
      <c r="L22" s="14"/>
      <c r="M22" s="14"/>
      <c r="N22" s="14"/>
      <c r="O22" s="2"/>
    </row>
    <row r="23" spans="1:15" ht="15.75" customHeight="1">
      <c r="A23" s="59"/>
      <c r="B23" s="68"/>
      <c r="C23" s="1"/>
      <c r="D23" s="30">
        <v>0.4</v>
      </c>
      <c r="E23" s="28">
        <f>IF(A43&lt;450,IF(F6&gt;0,EXP($B$6/SUM($B$6:$E$6)*LN('AS08'!K17)+$C$6/SUM($B$6:$E$6)*LN('BA08'!E16)+$D$6/SUM($B$6:$E$6)*LN('CB08'!E16)+$E$6/SUM($B$6:$E$6)*LN('CY08'!F17)),EXP($B$6/SUM($B$6:$E$6)*LN('AS08'!K17)+$C$6/SUM($B$6:$E$6)*LN('BA08'!E16)+$D$6/SUM($B$6:$E$6)*LN('CB08'!E16)+$E$6/SUM($B$6:$E$6)*LN('CY08'!F17))),IF(F6&gt;0,EXP($B$6*LN('AS08'!K17)+$C$6*LN('BA08'!E16)+$D$6*LN('CB08'!E16)+$E$6*LN('CY08'!F17)+$F$6*LN('I08'!E16)),EXP($B$6*LN('AS08'!K17)+$C$6*LN('BA08'!E16)+$D$6*LN('CB08'!E16)+$E$6*LN('CY08'!F17))))</f>
        <v>0.35234860994853406</v>
      </c>
      <c r="F23" s="28">
        <f>IF(A43&lt;450,IF($A$25=1,IF(F6&gt;0,EXP($B$6/SUM($B$6:$E$6)*(LN('AS08'!K17)+($B$8*'AS08'!N17))+$C$6/SUM($B$6:$E$6)*(LN('BA08'!E16)+($B$8*'BA08'!I16))+$D$6/SUM($B$6:$E$6)*(LN('CB08'!E16)+($B$8*'CB08'!J16))+$E$6/SUM($B$6:$E$6)*(LN('CY08'!F17)+($B$8*'CY08'!I17))),EXP($B$6/SUM($B$6:$E$6)*(LN('AS08'!K17)+($B$8*'AS08'!N17))+$C$6/SUM($B$6:$E$6)*(LN('BA08'!E16)+($B$8*'BA08'!I16))+$D$6/SUM($B$6:$E$6)*(LN('CB08'!E16)+($B$8*'CB08'!J16))+$E$6/SUM($B$6:$E$6)*(LN('CY08'!F17)+($B$8*'CY08'!I17)))),IF(F6&gt;0,EXP($B$6/SUM($B$6:$E$6)*(LN('AS08'!K17)+($B$8*'AS08'!N17))+$C$6/SUM($B$6:$E$6)*(LN('BA08'!E16)+($B$8*'BA08'!K16))+$D$6/SUM($B$6:$E$6)*(LN('CB08'!E16)+($B$8*'CB08'!J16))+$E$6/SUM($B$6:$E$6)*(LN('CY08'!F17)+($B$8*'CY08'!I17))),EXP($B$6/SUM($B$6:$E$6)*(LN('AS08'!K17)+($B$8*'AS08'!N17))+$C$6/SUM($B$6:$E$6)*(LN('BA08'!E16)+($B$8*'BA08'!K16))+$D$6/SUM($B$6:$E$6)*(LN('CB08'!E16)+($B$8*'CB08'!J16))+$E$6/SUM($B$6:$E$6)*(LN('CY08'!F17)+($B$8*'CY08'!I17))))),IF($A$25=1,IF(F6&gt;0,EXP($B$6*(LN('AS08'!K17)+($B$8*'AS08'!N17))+$C$6*(LN('BA08'!E16)+($B$8*'BA08'!I16))+$D$6*(LN('CB08'!E16)+($B$8*'CB08'!J16))+$E$6*(LN('CY08'!F17)+($B$8*'CY08'!I17))+$F$6*(LN('I08'!E16)+($B$8*'I08'!F16))),EXP($B$6*(LN('AS08'!K17)+($B$8*'AS08'!N17))+$C$6*(LN('BA08'!E16)+($B$8*'BA08'!I16))+$D$6*(LN('CB08'!E16)+($B$8*'CB08'!J16))+$E$6*(LN('CY08'!F17)+($B$8*'CY08'!I17)))),IF(F6&gt;0,EXP($B$6*(LN('AS08'!K17)+($B$8*'AS08'!N17))+$C$6*(LN('BA08'!E16)+($B$8*'BA08'!K16))+$D$6*(LN('CB08'!E16)+($B$8*'CB08'!J16))+$E$6*(LN('CY08'!F17)+($B$8*'CY08'!I17))+$F$6*(LN('I08'!E16)+($B$8*'I08'!F16))),EXP($B$6*(LN('AS08'!K17)+($B$8*'AS08'!N17))+$C$6*(LN('BA08'!E16)+($B$8*'BA08'!K16))+$D$6*(LN('CB08'!E16)+($B$8*'CB08'!J16))+$E$6*(LN('CY08'!F17)+($B$8*'CY08'!I17))))))</f>
        <v>0.64482314331522106</v>
      </c>
      <c r="G23" s="28">
        <f>IF(A43&lt;450,IF($A$25=1,IF(F6&gt;0,EXP($B$6/SUM($B$6:$E$6)*(LN('AS08'!K17)-($B$8*'AS08'!N17))+$C$6/SUM($B$6:$E$6)*(LN('BA08'!E16)-($B$8*'BA08'!I16))+$D$6/SUM($B$6:$E$6)*(LN('CB08'!E16)-($B$8*'CB08'!J16))+$E$6/SUM($B$6:$E$6)*(LN('CY08'!F17)-($B$8*'CY08'!I17))),EXP($B$6/SUM($B$6:$E$6)*(LN('AS08'!K17)-($B$8*'AS08'!N17))+$C$6/SUM($B$6:$E$6)*(LN('BA08'!E16)-($B$8*'BA08'!I16))+$D$6/SUM($B$6:$E$6)*(LN('CB08'!E16)-($B$8*'CB08'!J16))+$E$6/SUM($B$6:$E$6)*(LN('CY08'!F17)-($B$8*'CY08'!I17)))),IF(F6&gt;0,EXP($B$6/SUM($B$6:$E$6)*(LN('AS08'!K17)-($B$8*'AS08'!N17))+$C$6/SUM($B$6:$E$6)*(LN('BA08'!E16)-($B$8*'BA08'!K16))+$D$6/SUM($B$6:$E$6)*(LN('CB08'!E16)-($B$8*'CB08'!J16))+$E$6/SUM($B$6:$E$6)*(LN('CY08'!F17)-($B$8*'CY08'!I17))),EXP($B$6/SUM($B$6:$E$6)*(LN('AS08'!K17)-($B$8*'AS08'!N17))+$C$6/SUM($B$6:$E$6)*(LN('BA08'!E16)-($B$8*'BA08'!K16))+$D$6/SUM($B$6:$E$6)*(LN('CB08'!E16)-($B$8*'CB08'!J16))+$E$6/SUM($B$6:$E$6)*(LN('CY08'!F17)-($B$8*'CY08'!I17))))),IF($A$25=1,IF(F6&gt;0,EXP($B$6*(LN('AS08'!K17)-($B$8*'AS08'!N17))+$C$6*(LN('BA08'!E16)-($B$8*'BA08'!I16))+$D$6*(LN('CB08'!E16)-($B$8*'CB08'!J16))+$E$6*(LN('CY08'!F17)-($B$8*'CY08'!I17))+$F$6*(LN('I08'!E16)-($B$8*'I08'!F16))),EXP($B$6*(LN('AS08'!K17)-($B$8*'AS08'!N17))+$C$6*(LN('BA08'!E16)-($B$8*'BA08'!I16))+$D$6*(LN('CB08'!E16)-($B$8*'CB08'!J16))+$E$6*(LN('CY08'!F17)-($B$8*'CY08'!I17)))),IF(F6&gt;0,EXP($B$6*(LN('AS08'!K17)-($B$8*'AS08'!N17))+$C$6*(LN('BA08'!E16)-($B$8*'BA08'!K16))+$D$6*(LN('CB08'!E16)-($B$8*'CB08'!J16))+$E$6*(LN('CY08'!F17)-($B$8*'CY08'!I17))+$F$6*(LN('I08'!E16)-($B$8*'I08'!F16))),EXP($B$6*(LN('AS08'!K17)-($B$8*'AS08'!N17))+$C$6*(LN('BA08'!E16)-($B$8*'BA08'!K16))+$D$6*(LN('CB08'!E16)-($B$8*'CB08'!J16))+$E$6*(LN('CY08'!F17)-($B$8*'CY08'!I17))))))</f>
        <v>0.19253270329966091</v>
      </c>
      <c r="H23" s="28">
        <f t="shared" si="0"/>
        <v>1.3994548260169402</v>
      </c>
      <c r="I23" s="28"/>
      <c r="J23" s="28"/>
      <c r="K23" s="28"/>
      <c r="L23" s="14"/>
      <c r="M23" s="14"/>
      <c r="N23" s="14"/>
      <c r="O23" s="2"/>
    </row>
    <row r="24" spans="1:15" ht="15.75" customHeight="1">
      <c r="A24" s="91" t="s">
        <v>129</v>
      </c>
      <c r="B24" s="68"/>
      <c r="C24" s="97"/>
      <c r="D24" s="30">
        <v>0.5</v>
      </c>
      <c r="E24" s="28">
        <f>IF(A43&lt;450,IF(F6&gt;0,EXP($B$6/SUM($B$6:$E$6)*LN('AS08'!K18)+$C$6/SUM($B$6:$E$6)*LN('BA08'!E17)+$D$6/SUM($B$6:$E$6)*LN('CB08'!E17)+$E$6/SUM($B$6:$E$6)*LN('CY08'!F18)),EXP($B$6/SUM($B$6:$E$6)*LN('AS08'!K18)+$C$6/SUM($B$6:$E$6)*LN('BA08'!E17)+$D$6/SUM($B$6:$E$6)*LN('CB08'!E17)+$E$6/SUM($B$6:$E$6)*LN('CY08'!F18))),IF(F6&gt;0,EXP($B$6*LN('AS08'!K18)+$C$6*LN('BA08'!E17)+$D$6*LN('CB08'!E17)+$E$6*LN('CY08'!F18)+$F$6*LN('I08'!E17)),EXP($B$6*LN('AS08'!K18)+$C$6*LN('BA08'!E17)+$D$6*LN('CB08'!E17)+$E$6*LN('CY08'!F18))))</f>
        <v>0.31212983724060994</v>
      </c>
      <c r="F24" s="28">
        <f>IF(A43&lt;450,IF($A$25=1,IF(F6&gt;0,EXP($B$6/SUM($B$6:$E$6)*(LN('AS08'!K18)+($B$8*'AS08'!N18))+$C$6/SUM($B$6:$E$6)*(LN('BA08'!E17)+($B$8*'BA08'!I17))+$D$6/SUM($B$6:$E$6)*(LN('CB08'!E17)+($B$8*'CB08'!J17))+$E$6/SUM($B$6:$E$6)*(LN('CY08'!F18)+($B$8*'CY08'!I18))),EXP($B$6/SUM($B$6:$E$6)*(LN('AS08'!K18)+($B$8*'AS08'!N18))+$C$6/SUM($B$6:$E$6)*(LN('BA08'!E17)+($B$8*'BA08'!I17))+$D$6/SUM($B$6:$E$6)*(LN('CB08'!E17)+($B$8*'CB08'!J17))+$E$6/SUM($B$6:$E$6)*(LN('CY08'!F18)+($B$8*'CY08'!I18)))),IF(F6&gt;0,EXP($B$6/SUM($B$6:$E$6)*(LN('AS08'!K18)+($B$8*'AS08'!N18))+$C$6/SUM($B$6:$E$6)*(LN('BA08'!E17)+($B$8*'BA08'!K17))+$D$6/SUM($B$6:$E$6)*(LN('CB08'!E17)+($B$8*'CB08'!J17))+$E$6/SUM($B$6:$E$6)*(LN('CY08'!F18)+($B$8*'CY08'!I18))),EXP($B$6/SUM($B$6:$E$6)*(LN('AS08'!K18)+($B$8*'AS08'!N18))+$C$6/SUM($B$6:$E$6)*(LN('BA08'!E17)+($B$8*'BA08'!K17))+$D$6/SUM($B$6:$E$6)*(LN('CB08'!E17)+($B$8*'CB08'!J17))+$E$6/SUM($B$6:$E$6)*(LN('CY08'!F18)+($B$8*'CY08'!I18))))),IF($A$25=1,IF(F6&gt;0,EXP($B$6*(LN('AS08'!K18)+($B$8*'AS08'!N18))+$C$6*(LN('BA08'!E17)+($B$8*'BA08'!I17))+$D$6*(LN('CB08'!E17)+($B$8*'CB08'!J17))+$E$6*(LN('CY08'!F18)+($B$8*'CY08'!I18))+$F$6*(LN('I08'!E17)+($B$8*'I08'!F17))),EXP($B$6*(LN('AS08'!K18)+($B$8*'AS08'!N18))+$C$6*(LN('BA08'!E17)+($B$8*'BA08'!I17))+$D$6*(LN('CB08'!E17)+($B$8*'CB08'!J17))+$E$6*(LN('CY08'!F18)+($B$8*'CY08'!I18)))),IF(F6&gt;0,EXP($B$6*(LN('AS08'!K18)+($B$8*'AS08'!N18))+$C$6*(LN('BA08'!E17)+($B$8*'BA08'!K17))+$D$6*(LN('CB08'!E17)+($B$8*'CB08'!J17))+$E$6*(LN('CY08'!F18)+($B$8*'CY08'!I18))+$F$6*(LN('I08'!E17)+($B$8*'I08'!F17))),EXP($B$6*(LN('AS08'!K18)+($B$8*'AS08'!N18))+$C$6*(LN('BA08'!E17)+($B$8*'BA08'!K17))+$D$6*(LN('CB08'!E17)+($B$8*'CB08'!J17))+$E$6*(LN('CY08'!F18)+($B$8*'CY08'!I18))))))</f>
        <v>0.57360418357596521</v>
      </c>
      <c r="G24" s="28">
        <f>IF(A43&lt;450,IF($A$25=1,IF(F6&gt;0,EXP($B$6/SUM($B$6:$E$6)*(LN('AS08'!K18)-($B$8*'AS08'!N18))+$C$6/SUM($B$6:$E$6)*(LN('BA08'!E17)-($B$8*'BA08'!I17))+$D$6/SUM($B$6:$E$6)*(LN('CB08'!E17)-($B$8*'CB08'!J17))+$E$6/SUM($B$6:$E$6)*(LN('CY08'!F18)-($B$8*'CY08'!I18))),EXP($B$6/SUM($B$6:$E$6)*(LN('AS08'!K18)-($B$8*'AS08'!N18))+$C$6/SUM($B$6:$E$6)*(LN('BA08'!E17)-($B$8*'BA08'!I17))+$D$6/SUM($B$6:$E$6)*(LN('CB08'!E17)-($B$8*'CB08'!J17))+$E$6/SUM($B$6:$E$6)*(LN('CY08'!F18)-($B$8*'CY08'!I18)))),IF(F6&gt;0,EXP($B$6/SUM($B$6:$E$6)*(LN('AS08'!K18)-($B$8*'AS08'!N18))+$C$6/SUM($B$6:$E$6)*(LN('BA08'!E17)-($B$8*'BA08'!K17))+$D$6/SUM($B$6:$E$6)*(LN('CB08'!E17)-($B$8*'CB08'!J17))+$E$6/SUM($B$6:$E$6)*(LN('CY08'!F18)-($B$8*'CY08'!I18))),EXP($B$6/SUM($B$6:$E$6)*(LN('AS08'!K18)-($B$8*'AS08'!N18))+$C$6/SUM($B$6:$E$6)*(LN('BA08'!E17)-($B$8*'BA08'!K17))+$D$6/SUM($B$6:$E$6)*(LN('CB08'!E17)-($B$8*'CB08'!J17))+$E$6/SUM($B$6:$E$6)*(LN('CY08'!F18)-($B$8*'CY08'!I18))))),IF($A$25=1,IF(F6&gt;0,EXP($B$6*(LN('AS08'!K18)-($B$8*'AS08'!N18))+$C$6*(LN('BA08'!E17)-($B$8*'BA08'!I17))+$D$6*(LN('CB08'!E17)-($B$8*'CB08'!J17))+$E$6*(LN('CY08'!F18)-($B$8*'CY08'!I18))+$F$6*(LN('I08'!E17)-($B$8*'I08'!F17))),EXP($B$6*(LN('AS08'!K18)-($B$8*'AS08'!N18))+$C$6*(LN('BA08'!E17)-($B$8*'BA08'!I17))+$D$6*(LN('CB08'!E17)-($B$8*'CB08'!J17))+$E$6*(LN('CY08'!F18)-($B$8*'CY08'!I18)))),IF(F6&gt;0,EXP($B$6*(LN('AS08'!K18)-($B$8*'AS08'!N18))+$C$6*(LN('BA08'!E17)-($B$8*'BA08'!K17))+$D$6*(LN('CB08'!E17)-($B$8*'CB08'!J17))+$E$6*(LN('CY08'!F18)-($B$8*'CY08'!I18))+$F$6*(LN('I08'!E17)-($B$8*'I08'!F17))),EXP($B$6*(LN('AS08'!K18)-($B$8*'AS08'!N18))+$C$6*(LN('BA08'!E17)-($B$8*'BA08'!K17))+$D$6*(LN('CB08'!E17)-($B$8*'CB08'!J17))+$E$6*(LN('CY08'!F18)-($B$8*'CY08'!I18))))))</f>
        <v>0.16984714910634399</v>
      </c>
      <c r="H24" s="28">
        <f t="shared" si="0"/>
        <v>1.9370535792576666</v>
      </c>
      <c r="I24" s="28"/>
      <c r="J24" s="28"/>
      <c r="K24" s="28"/>
      <c r="L24" s="14"/>
      <c r="M24" s="14"/>
      <c r="N24" s="14"/>
      <c r="O24" s="2"/>
    </row>
    <row r="25" spans="1:15" ht="15.75" customHeight="1">
      <c r="A25" s="60">
        <v>0</v>
      </c>
      <c r="B25" s="68"/>
      <c r="C25" s="1"/>
      <c r="D25" s="78">
        <v>0.75</v>
      </c>
      <c r="E25" s="77">
        <f>IF(SUM(B6:E6)=0,"-",EXP($B$6/SUM($B$6:$E$6)*LN('AS08'!K19)+$C$6/SUM($B$6:$E$6)*LN('BA08'!E18)+$D$6/SUM($B$6:$E$6)*LN('CB08'!E18)+$E$6/SUM($B$6:$E$6)*LN('CY08'!F19)))</f>
        <v>0.23384087926792949</v>
      </c>
      <c r="F25" s="77">
        <f>IF(SUM(B6:E6)=0,"-",IF($A$25=1,EXP($B$6/SUM($B$6:$E$6)*(LN('AS08'!K19)+($B$8*'AS08'!N19))+$C$6/SUM($B$6:$E$6)*(LN('BA08'!E18)+($B$8*'BA08'!I18))+$D$6/SUM($B$6:$E$6)*(LN('CB08'!E18)+($B$8*'CB08'!J18))+$E$6/SUM($B$6:$E$6)*(LN('CY08'!F19)+($B$8*'CY08'!I19))),EXP($B$6/SUM($B$6:$E$6)*(LN('AS08'!K19)+($B$8*'AS08'!N19))+$C$6/SUM($B$6:$E$6)*(LN('BA08'!E18)+($B$8*'BA08'!K18))+$D$6/SUM($B$6:$E$6)*(LN('CB08'!E18)+($B$8*'CB08'!J18))+$E$6/SUM($B$6:$E$6)*(LN('CY08'!F19)+($B$8*'CY08'!I19)))))</f>
        <v>0.43165515386796599</v>
      </c>
      <c r="G25" s="77">
        <f>IF(SUM(B6:E6)=0,"-",IF($A$25=1,EXP($B$6/SUM($B$6:$E$6)*(LN('AS08'!K19)-($B$8*'AS08'!N19))+$C$6/SUM($B$6:$E$6)*(LN('BA08'!E18)-($B$8*'BA08'!I18))+$D$6/SUM($B$6:$E$6)*(LN('CB08'!E18)-($B$8*'CB08'!J18))+$E$6/SUM($B$6:$E$6)*(LN('CY08'!F19)-($B$8*'CY08'!I19))),EXP($B$6/SUM($B$6:$E$6)*(LN('AS08'!K19)-($B$8*'AS08'!N19))+$C$6/SUM($B$6:$E$6)*(LN('BA08'!E18)-($B$8*'BA08'!K18))+$D$6/SUM($B$6:$E$6)*(LN('CB08'!E18)-($B$8*'CB08'!J18))+$E$6/SUM($B$6:$E$6)*(LN('CY08'!F19)-($B$8*'CY08'!I19)))))</f>
        <v>0.1266787997937916</v>
      </c>
      <c r="H25" s="77">
        <f>IF(SUM(B6:E6)=0,"-",(E25*980)/(2*PI()/D25)^2)</f>
        <v>3.2651963406511579</v>
      </c>
      <c r="I25" s="28"/>
      <c r="J25" s="28"/>
      <c r="K25" s="28"/>
      <c r="L25" s="14"/>
      <c r="M25" s="14"/>
      <c r="N25" s="14"/>
      <c r="O25" s="2"/>
    </row>
    <row r="26" spans="1:15" ht="15.75" customHeight="1">
      <c r="A26" s="61"/>
      <c r="B26" s="68"/>
      <c r="C26" s="1"/>
      <c r="D26" s="79">
        <v>1</v>
      </c>
      <c r="E26" s="77">
        <f>IF(A43&lt;450,IF(F6&gt;0,EXP($B$6/SUM($B$6:$E$6)*LN('AS08'!K20)+$C$6/SUM($B$6:$E$6)*LN('BA08'!E19)+$D$6/SUM($B$6:$E$6)*LN('CB08'!E19)+$E$6/SUM($B$6:$E$6)*LN('CY08'!F20)),EXP($B$6/SUM($B$6:$E$6)*LN('AS08'!K20)+$C$6/SUM($B$6:$E$6)*LN('BA08'!E19)+$D$6/SUM($B$6:$E$6)*LN('CB08'!E19)+$E$6/SUM($B$6:$E$6)*LN('CY08'!F20))),IF(F6&gt;0,EXP($B$6*LN('AS08'!K20)+$C$6*LN('BA08'!E19)+$D$6*LN('CB08'!E19)+$E$6*LN('CY08'!F20)+$F$6*LN('I08'!E18)),EXP($B$6*LN('AS08'!K20)+$C$6*LN('BA08'!E19)+$D$6*LN('CB08'!E19)+$E$6*LN('CY08'!F20))))</f>
        <v>0.18411881856914938</v>
      </c>
      <c r="F26" s="77">
        <f>IF(A43&lt;450,IF($A$25=1,IF(F6&gt;0,EXP($B$6/SUM($B$6:$E$6)*(LN('AS08'!K20)+($B$8*'AS08'!N20))+$C$6/SUM($B$6:$E$6)*(LN('BA08'!E19)+($B$8*'BA08'!I19))+$D$6/SUM($B$6:$E$6)*(LN('CB08'!E19)+($B$8*'CB08'!J19))+$E$6/SUM($B$6:$E$6)*(LN('CY08'!F20)+($B$8*'CY08'!I20))),EXP($B$6/SUM($B$6:$E$6)*(LN('AS08'!K20)+($B$8*'AS08'!N20))+$C$6/SUM($B$6:$E$6)*(LN('BA08'!E19)+($B$8*'BA08'!I19))+$D$6/SUM($B$6:$E$6)*(LN('CB08'!E19)+($B$8*'CB08'!J19))+$E$6/SUM($B$6:$E$6)*(LN('CY08'!F20)+($B$8*'CY08'!I20)))),IF(F6&gt;0,EXP($B$6/SUM($B$6:$E$6)*(LN('AS08'!K20)+($B$8*'AS08'!N20))+$C$6/SUM($B$6:$E$6)*(LN('BA08'!E19)+($B$8*'BA08'!K19))+$D$6/SUM($B$6:$E$6)*(LN('CB08'!E19)+($B$8*'CB08'!J19))+$E$6/SUM($B$6:$E$6)*(LN('CY08'!F20)+($B$8*'CY08'!I20))),EXP($B$6/SUM($B$6:$E$6)*(LN('AS08'!K20)+($B$8*'AS08'!N20))+$C$6/SUM($B$6:$E$6)*(LN('BA08'!E19)+($B$8*'BA08'!K19))+$D$6/SUM($B$6:$E$6)*(LN('CB08'!E19)+($B$8*'CB08'!J19))+$E$6/SUM($B$6:$E$6)*(LN('CY08'!F20)+($B$8*'CY08'!I20))))),IF($A$25=1,IF(F6&gt;0,EXP($B$6*(LN('AS08'!K20)+($B$8*'AS08'!N20))+$C$6*(LN('BA08'!E19)+($B$8*'BA08'!I19))+$D$6*(LN('CB08'!E19)+($B$8*'CB08'!J19))+$E$6*(LN('CY08'!F20)+($B$8*'CY08'!I20))+$F$6*(LN('I08'!E18)+($B$8*'I08'!F18))),EXP($B$6*(LN('AS08'!K20)+($B$8*'AS08'!N20))+$C$6*(LN('BA08'!E19)+($B$8*'BA08'!I19))+$D$6*(LN('CB08'!E19)+($B$8*'CB08'!J19))+$E$6*(LN('CY08'!F20)+($B$8*'CY08'!I20)))),IF(F6&gt;0,EXP($B$6*(LN('AS08'!K20)+($B$8*'AS08'!N20))+$C$6*(LN('BA08'!E19)+($B$8*'BA08'!K19))+$D$6*(LN('CB08'!E19)+($B$8*'CB08'!J19))+$E$6*(LN('CY08'!F20)+($B$8*'CY08'!I20))+$F$6*(LN('I08'!E18)+($B$8*'I08'!F18))),EXP($B$6*(LN('AS08'!K20)+($B$8*'AS08'!N20))+$C$6*(LN('BA08'!E19)+($B$8*'BA08'!K19))+$D$6*(LN('CB08'!E19)+($B$8*'CB08'!J19))+$E$6*(LN('CY08'!F20)+($B$8*'CY08'!I20))))))</f>
        <v>0.33980407238496735</v>
      </c>
      <c r="G26" s="77">
        <f>IF(A43&lt;450,IF($A$25=1,IF(F6&gt;0,EXP($B$6/SUM($B$6:$E$6)*(LN('AS08'!K20)-($B$8*'AS08'!N20))+$C$6/SUM($B$6:$E$6)*(LN('BA08'!E19)-($B$8*'BA08'!I19))+$D$6/SUM($B$6:$E$6)*(LN('CB08'!E19)-($B$8*'CB08'!J19))+$E$6/SUM($B$6:$E$6)*(LN('CY08'!F20)-($B$8*'CY08'!I20))),EXP($B$6/SUM($B$6:$E$6)*(LN('AS08'!K20)-($B$8*'AS08'!N20))+$C$6/SUM($B$6:$E$6)*(LN('BA08'!E19)-($B$8*'BA08'!I19))+$D$6/SUM($B$6:$E$6)*(LN('CB08'!E19)-($B$8*'CB08'!J19))+$E$6/SUM($B$6:$E$6)*(LN('CY08'!F20)-($B$8*'CY08'!I20)))),IF(F6&gt;0,EXP($B$6/SUM($B$6:$E$6)*(LN('AS08'!K20)-($B$8*'AS08'!N20))+$C$6/SUM($B$6:$E$6)*(LN('BA08'!E19)-($B$8*'BA08'!K19))+$D$6/SUM($B$6:$E$6)*(LN('CB08'!E19)-($B$8*'CB08'!J19))+$E$6/SUM($B$6:$E$6)*(LN('CY08'!F20)-($B$8*'CY08'!I20))),EXP($B$6/SUM($B$6:$E$6)*(LN('AS08'!K20)-($B$8*'AS08'!N20))+$C$6/SUM($B$6:$E$6)*(LN('BA08'!E19)-($B$8*'BA08'!K19))+$D$6/SUM($B$6:$E$6)*(LN('CB08'!E19)-($B$8*'CB08'!J19))+$E$6/SUM($B$6:$E$6)*(LN('CY08'!F20)-($B$8*'CY08'!I20))))),IF($A$25=1,IF(F6&gt;0,EXP($B$6*(LN('AS08'!K20)-($B$8*'AS08'!N20))+$C$6*(LN('BA08'!E19)-($B$8*'BA08'!I19))+$D$6*(LN('CB08'!E19)-($B$8*'CB08'!J19))+$E$6*(LN('CY08'!F20)-($B$8*'CY08'!I20))+$F$6*(LN('I08'!E18)-($B$8*'I08'!F18))),EXP($B$6*(LN('AS08'!K20)-($B$8*'AS08'!N20))+$C$6*(LN('BA08'!E19)-($B$8*'BA08'!I19))+$D$6*(LN('CB08'!E19)-($B$8*'CB08'!J19))+$E$6*(LN('CY08'!F20)-($B$8*'CY08'!I20)))),IF(F6&gt;0,EXP($B$6*(LN('AS08'!K20)-($B$8*'AS08'!N20))+$C$6*(LN('BA08'!E19)-($B$8*'BA08'!K19))+$D$6*(LN('CB08'!E19)-($B$8*'CB08'!J19))+$E$6*(LN('CY08'!F20)-($B$8*'CY08'!I20))+$F$6*(LN('I08'!E18)-($B$8*'I08'!F18))),EXP($B$6*(LN('AS08'!K20)-($B$8*'AS08'!N20))+$C$6*(LN('BA08'!E19)-($B$8*'BA08'!K19))+$D$6*(LN('CB08'!E19)-($B$8*'CB08'!J19))+$E$6*(LN('CY08'!F20)-($B$8*'CY08'!I20))))))</f>
        <v>9.9762604707379757E-2</v>
      </c>
      <c r="H26" s="77">
        <f t="shared" ref="H26:H31" si="1">(E26*980)/(2*PI()/D26)^2</f>
        <v>4.5705084739224882</v>
      </c>
      <c r="I26" s="28"/>
      <c r="J26" s="28"/>
      <c r="K26" s="28"/>
      <c r="L26" s="14"/>
      <c r="M26" s="14"/>
      <c r="N26" s="14"/>
      <c r="O26" s="2"/>
    </row>
    <row r="27" spans="1:15" ht="15.75" customHeight="1">
      <c r="A27" s="90" t="s">
        <v>264</v>
      </c>
      <c r="B27" s="68"/>
      <c r="C27" s="1"/>
      <c r="D27" s="31">
        <v>1.5</v>
      </c>
      <c r="E27" s="28">
        <f>IF(A43&lt;450,IF(F6&gt;0,EXP($B$6/SUM($B$6:$E$6)*LN('AS08'!K21)+$C$6/SUM($B$6:$E$6)*LN('BA08'!E20)+$D$6/SUM($B$6:$E$6)*LN('CB08'!E20)+$E$6/SUM($B$6:$E$6)*LN('CY08'!F21)),EXP($B$6/SUM($B$6:$E$6)*LN('AS08'!K21)+$C$6/SUM($B$6:$E$6)*LN('BA08'!E20)+$D$6/SUM($B$6:$E$6)*LN('CB08'!E20)+$E$6/SUM($B$6:$E$6)*LN('CY08'!F21))),IF(F6&gt;0,EXP($B$6*LN('AS08'!K21)+$C$6*LN('BA08'!E20)+$D$6*LN('CB08'!E20)+$E$6*LN('CY08'!F21)+$F$6*LN('I08'!E19)),EXP($B$6*LN('AS08'!K21)+$C$6*LN('BA08'!E20)+$D$6*LN('CB08'!E20)+$E$6*LN('CY08'!F21))))</f>
        <v>0.11994615463021777</v>
      </c>
      <c r="F27" s="28">
        <f>IF(A43&lt;450,IF($A$25=1,IF(F6&gt;0,EXP($B$6/SUM($B$6:$E$6)*(LN('AS08'!K21)+($B$8*'AS08'!N21))+$C$6/SUM($B$6:$E$6)*(LN('BA08'!E20)+($B$8*'BA08'!I20))+$D$6/SUM($B$6:$E$6)*(LN('CB08'!E20)+($B$8*'CB08'!J20))+$E$6/SUM($B$6:$E$6)*(LN('CY08'!F21)+($B$8*'CY08'!I21))),EXP($B$6/SUM($B$6:$E$6)*(LN('AS08'!K21)+($B$8*'AS08'!N21))+$C$6/SUM($B$6:$E$6)*(LN('BA08'!E20)+($B$8*'BA08'!I20))+$D$6/SUM($B$6:$E$6)*(LN('CB08'!E20)+($B$8*'CB08'!J20))+$E$6/SUM($B$6:$E$6)*(LN('CY08'!F21)+($B$8*'CY08'!I21)))),IF(F6&gt;0,EXP($B$6/SUM($B$6:$E$6)*(LN('AS08'!K21)+($B$8*'AS08'!N21))+$C$6/SUM($B$6:$E$6)*(LN('BA08'!E20)+($B$8*'BA08'!K20))+$D$6/SUM($B$6:$E$6)*(LN('CB08'!E20)+($B$8*'CB08'!J20))+$E$6/SUM($B$6:$E$6)*(LN('CY08'!F21)+($B$8*'CY08'!I21))),EXP($B$6/SUM($B$6:$E$6)*(LN('AS08'!K21)+($B$8*'AS08'!N21))+$C$6/SUM($B$6:$E$6)*(LN('BA08'!E20)+($B$8*'BA08'!K20))+$D$6/SUM($B$6:$E$6)*(LN('CB08'!E20)+($B$8*'CB08'!J20))+$E$6/SUM($B$6:$E$6)*(LN('CY08'!F21)+($B$8*'CY08'!I21))))),IF($A$25=1,IF(F6&gt;0,EXP($B$6*(LN('AS08'!K21)+($B$8*'AS08'!N21))+$C$6*(LN('BA08'!E20)+($B$8*'BA08'!I20))+$D$6*(LN('CB08'!E20)+($B$8*'CB08'!J20))+$E$6*(LN('CY08'!F21)+($B$8*'CY08'!I21))+$F$6*(LN('I08'!E19)+($B$8*'I08'!F19))),EXP($B$6*(LN('AS08'!K21)+($B$8*'AS08'!N21))+$C$6*(LN('BA08'!E20)+($B$8*'BA08'!I20))+$D$6*(LN('CB08'!E20)+($B$8*'CB08'!J20))+$E$6*(LN('CY08'!F21)+($B$8*'CY08'!I21)))),IF(F6&gt;0,EXP($B$6*(LN('AS08'!K21)+($B$8*'AS08'!N21))+$C$6*(LN('BA08'!E20)+($B$8*'BA08'!K20))+$D$6*(LN('CB08'!E20)+($B$8*'CB08'!J20))+$E$6*(LN('CY08'!F21)+($B$8*'CY08'!I21))+$F$6*(LN('I08'!E19)+($B$8*'I08'!F19))),EXP($B$6*(LN('AS08'!K21)+($B$8*'AS08'!N21))+$C$6*(LN('BA08'!E20)+($B$8*'BA08'!K20))+$D$6*(LN('CB08'!E20)+($B$8*'CB08'!J20))+$E$6*(LN('CY08'!F21)+($B$8*'CY08'!I21))))))</f>
        <v>0.22028352138061646</v>
      </c>
      <c r="G27" s="28">
        <f>IF(A43&lt;450,IF($A$25=1,IF(F6&gt;0,EXP($B$6/SUM($B$6:$E$6)*(LN('AS08'!K21)-($B$8*'AS08'!N21))+$C$6/SUM($B$6:$E$6)*(LN('BA08'!E20)-($B$8*'BA08'!I20))+$D$6/SUM($B$6:$E$6)*(LN('CB08'!E20)-($B$8*'CB08'!J20))+$E$6/SUM($B$6:$E$6)*(LN('CY08'!F21)-($B$8*'CY08'!I21))),EXP($B$6/SUM($B$6:$E$6)*(LN('AS08'!K21)-($B$8*'AS08'!N21))+$C$6/SUM($B$6:$E$6)*(LN('BA08'!E20)-($B$8*'BA08'!I20))+$D$6/SUM($B$6:$E$6)*(LN('CB08'!E20)-($B$8*'CB08'!J20))+$E$6/SUM($B$6:$E$6)*(LN('CY08'!F21)-($B$8*'CY08'!I21)))),IF(F6&gt;0,EXP($B$6/SUM($B$6:$E$6)*(LN('AS08'!K21)-($B$8*'AS08'!N21))+$C$6/SUM($B$6:$E$6)*(LN('BA08'!E20)-($B$8*'BA08'!K20))+$D$6/SUM($B$6:$E$6)*(LN('CB08'!E20)-($B$8*'CB08'!J20))+$E$6/SUM($B$6:$E$6)*(LN('CY08'!F21)-($B$8*'CY08'!I21))),EXP($B$6/SUM($B$6:$E$6)*(LN('AS08'!K21)-($B$8*'AS08'!N21))+$C$6/SUM($B$6:$E$6)*(LN('BA08'!E20)-($B$8*'BA08'!K20))+$D$6/SUM($B$6:$E$6)*(LN('CB08'!E20)-($B$8*'CB08'!J20))+$E$6/SUM($B$6:$E$6)*(LN('CY08'!F21)-($B$8*'CY08'!I21))))),IF($A$25=1,IF(F6&gt;0,EXP($B$6*(LN('AS08'!K21)-($B$8*'AS08'!N21))+$C$6*(LN('BA08'!E20)-($B$8*'BA08'!I20))+$D$6*(LN('CB08'!E20)-($B$8*'CB08'!J20))+$E$6*(LN('CY08'!F21)-($B$8*'CY08'!I21))+$F$6*(LN('I08'!E19)-($B$8*'I08'!F19))),EXP($B$6*(LN('AS08'!K21)-($B$8*'AS08'!N21))+$C$6*(LN('BA08'!E20)-($B$8*'BA08'!I20))+$D$6*(LN('CB08'!E20)-($B$8*'CB08'!J20))+$E$6*(LN('CY08'!F21)-($B$8*'CY08'!I21)))),IF(F6&gt;0,EXP($B$6*(LN('AS08'!K21)-($B$8*'AS08'!N21))+$C$6*(LN('BA08'!E20)-($B$8*'BA08'!K20))+$D$6*(LN('CB08'!E20)-($B$8*'CB08'!J20))+$E$6*(LN('CY08'!F21)-($B$8*'CY08'!I21))+$F$6*(LN('I08'!E19)-($B$8*'I08'!F19))),EXP($B$6*(LN('AS08'!K21)-($B$8*'AS08'!N21))+$C$6*(LN('BA08'!E20)-($B$8*'BA08'!K20))+$D$6*(LN('CB08'!E20)-($B$8*'CB08'!J20))+$E$6*(LN('CY08'!F21)-($B$8*'CY08'!I21))))))</f>
        <v>6.5311648916840326E-2</v>
      </c>
      <c r="H27" s="28">
        <f t="shared" si="1"/>
        <v>6.699388856214898</v>
      </c>
      <c r="I27" s="28"/>
      <c r="J27" s="28"/>
      <c r="K27" s="28"/>
      <c r="L27" s="14"/>
      <c r="M27" s="14"/>
      <c r="N27" s="14"/>
      <c r="O27" s="2"/>
    </row>
    <row r="28" spans="1:15" ht="15.75" customHeight="1">
      <c r="A28" s="62">
        <v>0</v>
      </c>
      <c r="B28" s="68"/>
      <c r="C28" s="1"/>
      <c r="D28" s="31">
        <v>2</v>
      </c>
      <c r="E28" s="28">
        <f>IF(A43&lt;450,IF(F6&gt;0,EXP($B$6/SUM($B$6:$E$6)*LN('AS08'!K22)+$C$6/SUM($B$6:$E$6)*LN('BA08'!E21)+$D$6/SUM($B$6:$E$6)*LN('CB08'!E21)+$E$6/SUM($B$6:$E$6)*LN('CY08'!F22)),EXP($B$6/SUM($B$6:$E$6)*LN('AS08'!K22)+$C$6/SUM($B$6:$E$6)*LN('BA08'!E21)+$D$6/SUM($B$6:$E$6)*LN('CB08'!E21)+$E$6/SUM($B$6:$E$6)*LN('CY08'!F22))),IF(F6&gt;0,EXP($B$6*LN('AS08'!K22)+$C$6*LN('BA08'!E21)+$D$6*LN('CB08'!E21)+$E$6*LN('CY08'!F22)+$F$6*LN('I08'!E20)),EXP($B$6*LN('AS08'!K22)+$C$6*LN('BA08'!E21)+$D$6*LN('CB08'!E21)+$E$6*LN('CY08'!F22))))</f>
        <v>8.6395089309919196E-2</v>
      </c>
      <c r="F28" s="28">
        <f>IF(A43&lt;450,IF($A$25=1,IF(F6&gt;0,EXP($B$6/SUM($B$6:$E$6)*(LN('AS08'!K22)+($B$8*'AS08'!N22))+$C$6/SUM($B$6:$E$6)*(LN('BA08'!E21)+($B$8*'BA08'!I21))+$D$6/SUM($B$6:$E$6)*(LN('CB08'!E21)+($B$8*'CB08'!J21))+$E$6/SUM($B$6:$E$6)*(LN('CY08'!F22)+($B$8*'CY08'!I22))),EXP($B$6/SUM($B$6:$E$6)*(LN('AS08'!K22)+($B$8*'AS08'!N22))+$C$6/SUM($B$6:$E$6)*(LN('BA08'!E21)+($B$8*'BA08'!I21))+$D$6/SUM($B$6:$E$6)*(LN('CB08'!E21)+($B$8*'CB08'!J21))+$E$6/SUM($B$6:$E$6)*(LN('CY08'!F22)+($B$8*'CY08'!I22)))),IF(F6&gt;0,EXP($B$6/SUM($B$6:$E$6)*(LN('AS08'!K22)+($B$8*'AS08'!N22))+$C$6/SUM($B$6:$E$6)*(LN('BA08'!E21)+($B$8*'BA08'!K21))+$D$6/SUM($B$6:$E$6)*(LN('CB08'!E21)+($B$8*'CB08'!J21))+$E$6/SUM($B$6:$E$6)*(LN('CY08'!F22)+($B$8*'CY08'!I22))),EXP($B$6/SUM($B$6:$E$6)*(LN('AS08'!K22)+($B$8*'AS08'!N22))+$C$6/SUM($B$6:$E$6)*(LN('BA08'!E21)+($B$8*'BA08'!K21))+$D$6/SUM($B$6:$E$6)*(LN('CB08'!E21)+($B$8*'CB08'!J21))+$E$6/SUM($B$6:$E$6)*(LN('CY08'!F22)+($B$8*'CY08'!I22))))),IF($A$25=1,IF(F6&gt;0,EXP($B$6*(LN('AS08'!K22)+($B$8*'AS08'!N22))+$C$6*(LN('BA08'!E21)+($B$8*'BA08'!I21))+$D$6*(LN('CB08'!E21)+($B$8*'CB08'!J21))+$E$6*(LN('CY08'!F22)+($B$8*'CY08'!I22))+$F$6*(LN('I08'!E20)+($B$8*'I08'!F20))),EXP($B$6*(LN('AS08'!K22)+($B$8*'AS08'!N22))+$C$6*(LN('BA08'!E21)+($B$8*'BA08'!I21))+$D$6*(LN('CB08'!E21)+($B$8*'CB08'!J21))+$E$6*(LN('CY08'!F22)+($B$8*'CY08'!I22)))),IF(F6&gt;0,EXP($B$6*(LN('AS08'!K22)+($B$8*'AS08'!N22))+$C$6*(LN('BA08'!E21)+($B$8*'BA08'!K21))+$D$6*(LN('CB08'!E21)+($B$8*'CB08'!J21))+$E$6*(LN('CY08'!F22)+($B$8*'CY08'!I22))+$F$6*(LN('I08'!E20)+($B$8*'I08'!F20))),EXP($B$6*(LN('AS08'!K22)+($B$8*'AS08'!N22))+$C$6*(LN('BA08'!E21)+($B$8*'BA08'!K21))+$D$6*(LN('CB08'!E21)+($B$8*'CB08'!J21))+$E$6*(LN('CY08'!F22)+($B$8*'CY08'!I22))))))</f>
        <v>0.15789142603357076</v>
      </c>
      <c r="G28" s="28">
        <f>IF(A43&lt;450,IF($A$25=1,IF(F6&gt;0,EXP($B$6/SUM($B$6:$E$6)*(LN('AS08'!K22)-($B$8*'AS08'!N22))+$C$6/SUM($B$6:$E$6)*(LN('BA08'!E21)-($B$8*'BA08'!I21))+$D$6/SUM($B$6:$E$6)*(LN('CB08'!E21)-($B$8*'CB08'!J21))+$E$6/SUM($B$6:$E$6)*(LN('CY08'!F22)-($B$8*'CY08'!I22))),EXP($B$6/SUM($B$6:$E$6)*(LN('AS08'!K22)-($B$8*'AS08'!N22))+$C$6/SUM($B$6:$E$6)*(LN('BA08'!E21)-($B$8*'BA08'!I21))+$D$6/SUM($B$6:$E$6)*(LN('CB08'!E21)-($B$8*'CB08'!J21))+$E$6/SUM($B$6:$E$6)*(LN('CY08'!F22)-($B$8*'CY08'!I22)))),IF(F6&gt;0,EXP($B$6/SUM($B$6:$E$6)*(LN('AS08'!K22)-($B$8*'AS08'!N22))+$C$6/SUM($B$6:$E$6)*(LN('BA08'!E21)-($B$8*'BA08'!K21))+$D$6/SUM($B$6:$E$6)*(LN('CB08'!E21)-($B$8*'CB08'!J21))+$E$6/SUM($B$6:$E$6)*(LN('CY08'!F22)-($B$8*'CY08'!I22))),EXP($B$6/SUM($B$6:$E$6)*(LN('AS08'!K22)-($B$8*'AS08'!N22))+$C$6/SUM($B$6:$E$6)*(LN('BA08'!E21)-($B$8*'BA08'!K21))+$D$6/SUM($B$6:$E$6)*(LN('CB08'!E21)-($B$8*'CB08'!J21))+$E$6/SUM($B$6:$E$6)*(LN('CY08'!F22)-($B$8*'CY08'!I22))))),IF($A$25=1,IF(F6&gt;0,EXP($B$6*(LN('AS08'!K22)-($B$8*'AS08'!N22))+$C$6*(LN('BA08'!E21)-($B$8*'BA08'!I21))+$D$6*(LN('CB08'!E21)-($B$8*'CB08'!J21))+$E$6*(LN('CY08'!F22)-($B$8*'CY08'!I22))+$F$6*(LN('I08'!E20)-($B$8*'I08'!F20))),EXP($B$6*(LN('AS08'!K22)-($B$8*'AS08'!N22))+$C$6*(LN('BA08'!E21)-($B$8*'BA08'!I21))+$D$6*(LN('CB08'!E21)-($B$8*'CB08'!J21))+$E$6*(LN('CY08'!F22)-($B$8*'CY08'!I22)))),IF(F6&gt;0,EXP($B$6*(LN('AS08'!K22)-($B$8*'AS08'!N22))+$C$6*(LN('BA08'!E21)-($B$8*'BA08'!K21))+$D$6*(LN('CB08'!E21)-($B$8*'CB08'!J21))+$E$6*(LN('CY08'!F22)-($B$8*'CY08'!I22))+$F$6*(LN('I08'!E20)-($B$8*'I08'!F20))),EXP($B$6*(LN('AS08'!K22)-($B$8*'AS08'!N22))+$C$6*(LN('BA08'!E21)-($B$8*'BA08'!K21))+$D$6*(LN('CB08'!E21)-($B$8*'CB08'!J21))+$E$6*(LN('CY08'!F22)-($B$8*'CY08'!I22))))))</f>
        <v>4.7273697149849664E-2</v>
      </c>
      <c r="H28" s="28">
        <f t="shared" si="1"/>
        <v>8.5785796555711666</v>
      </c>
      <c r="I28" s="28"/>
      <c r="J28" s="28"/>
      <c r="K28" s="28"/>
      <c r="L28" s="14"/>
      <c r="M28" s="14"/>
      <c r="N28" s="14"/>
      <c r="O28" s="2"/>
    </row>
    <row r="29" spans="1:15" ht="15.75" customHeight="1">
      <c r="A29" s="62"/>
      <c r="B29" s="83"/>
      <c r="C29" s="1"/>
      <c r="D29" s="79">
        <v>3</v>
      </c>
      <c r="E29" s="77">
        <f>IF(A43&lt;450,IF(F6&gt;0,EXP($B$6/SUM($B$6:$E$6)*LN('AS08'!K23)+$C$6/SUM($B$6:$E$6)*LN('BA08'!E22)+$D$6/SUM($B$6:$E$6)*LN('CB08'!E22)+$E$6/SUM($B$6:$E$6)*LN('CY08'!F23)),EXP($B$6/SUM($B$6:$E$6)*LN('AS08'!K23)+$C$6/SUM($B$6:$E$6)*LN('BA08'!E22)+$D$6/SUM($B$6:$E$6)*LN('CB08'!E22)+$E$6/SUM($B$6:$E$6)*LN('CY08'!F23))),IF(F6&gt;0,EXP($B$6*LN('AS08'!K23)+$C$6*LN('BA08'!E22)+$D$6*LN('CB08'!E22)+$E$6*LN('CY08'!F23)+$F$6*LN('I08'!E21)),EXP($B$6*LN('AS08'!K23)+$C$6*LN('BA08'!E22)+$D$6*LN('CB08'!E22)+$E$6*LN('CY08'!F23))))</f>
        <v>5.3559438104815019E-2</v>
      </c>
      <c r="F29" s="77">
        <f>IF(A43&lt;450,IF($A$25=1,IF(F6&gt;0,EXP($B$6/SUM($B$6:$E$6)*(LN('AS08'!K23)+($B$8*'AS08'!N23))+$C$6/SUM($B$6:$E$6)*(LN('BA08'!E22)+($B$8*'BA08'!I22))+$D$6/SUM($B$6:$E$6)*(LN('CB08'!E22)+($B$8*'CB08'!J22))+$E$6/SUM($B$6:$E$6)*(LN('CY08'!F23)+($B$8*'CY08'!I23))),EXP($B$6/SUM($B$6:$E$6)*(LN('AS08'!K23)+($B$8*'AS08'!N23))+$C$6/SUM($B$6:$E$6)*(LN('BA08'!E22)+($B$8*'BA08'!I22))+$D$6/SUM($B$6:$E$6)*(LN('CB08'!E22)+($B$8*'CB08'!J22))+$E$6/SUM($B$6:$E$6)*(LN('CY08'!F23)+($B$8*'CY08'!I23)))),IF(F6&gt;0,EXP($B$6/SUM($B$6:$E$6)*(LN('AS08'!K23)+($B$8*'AS08'!N23))+$C$6/SUM($B$6:$E$6)*(LN('BA08'!E22)+($B$8*'BA08'!K22))+$D$6/SUM($B$6:$E$6)*(LN('CB08'!E22)+($B$8*'CB08'!J22))+$E$6/SUM($B$6:$E$6)*(LN('CY08'!F23)+($B$8*'CY08'!I23))),EXP($B$6/SUM($B$6:$E$6)*(LN('AS08'!K23)+($B$8*'AS08'!N23))+$C$6/SUM($B$6:$E$6)*(LN('BA08'!E22)+($B$8*'BA08'!K22))+$D$6/SUM($B$6:$E$6)*(LN('CB08'!E22)+($B$8*'CB08'!J22))+$E$6/SUM($B$6:$E$6)*(LN('CY08'!F23)+($B$8*'CY08'!I23))))),IF($A$25=1,IF(F6&gt;0,EXP($B$6*(LN('AS08'!K23)+($B$8*'AS08'!N23))+$C$6*(LN('BA08'!E22)+($B$8*'BA08'!I22))+$D$6*(LN('CB08'!E22)+($B$8*'CB08'!J22))+$E$6*(LN('CY08'!F23)+($B$8*'CY08'!I23))+$F$6*(LN('I08'!E21)+($B$8*'I08'!F21))),EXP($B$6*(LN('AS08'!K23)+($B$8*'AS08'!N23))+$C$6*(LN('BA08'!E22)+($B$8*'BA08'!I22))+$D$6*(LN('CB08'!E22)+($B$8*'CB08'!J22))+$E$6*(LN('CY08'!F23)+($B$8*'CY08'!I23)))),IF(F6&gt;0,EXP($B$6*(LN('AS08'!K23)+($B$8*'AS08'!N23))+$C$6*(LN('BA08'!E22)+($B$8*'BA08'!K22))+$D$6*(LN('CB08'!E22)+($B$8*'CB08'!J22))+$E$6*(LN('CY08'!F23)+($B$8*'CY08'!I23))+$F$6*(LN('I08'!E21)+($B$8*'I08'!F21))),EXP($B$6*(LN('AS08'!K23)+($B$8*'AS08'!N23))+$C$6*(LN('BA08'!E22)+($B$8*'BA08'!K22))+$D$6*(LN('CB08'!E22)+($B$8*'CB08'!J22))+$E$6*(LN('CY08'!F23)+($B$8*'CY08'!I23))))))</f>
        <v>9.8604787047390091E-2</v>
      </c>
      <c r="G29" s="77">
        <f>IF(A43&lt;450,IF($A$25=1,IF(F6&gt;0,EXP($B$6/SUM($B$6:$E$6)*(LN('AS08'!K23)-($B$8*'AS08'!N23))+$C$6/SUM($B$6:$E$6)*(LN('BA08'!E22)-($B$8*'BA08'!I22))+$D$6/SUM($B$6:$E$6)*(LN('CB08'!E22)-($B$8*'CB08'!J22))+$E$6/SUM($B$6:$E$6)*(LN('CY08'!F23)-($B$8*'CY08'!I23))),EXP($B$6/SUM($B$6:$E$6)*(LN('AS08'!K23)-($B$8*'AS08'!N23))+$C$6/SUM($B$6:$E$6)*(LN('BA08'!E22)-($B$8*'BA08'!I22))+$D$6/SUM($B$6:$E$6)*(LN('CB08'!E22)-($B$8*'CB08'!J22))+$E$6/SUM($B$6:$E$6)*(LN('CY08'!F23)-($B$8*'CY08'!I23)))),IF(F6&gt;0,EXP($B$6/SUM($B$6:$E$6)*(LN('AS08'!K23)-($B$8*'AS08'!N23))+$C$6/SUM($B$6:$E$6)*(LN('BA08'!E22)-($B$8*'BA08'!K22))+$D$6/SUM($B$6:$E$6)*(LN('CB08'!E22)-($B$8*'CB08'!J22))+$E$6/SUM($B$6:$E$6)*(LN('CY08'!F23)-($B$8*'CY08'!I23))),EXP($B$6/SUM($B$6:$E$6)*(LN('AS08'!K23)-($B$8*'AS08'!N23))+$C$6/SUM($B$6:$E$6)*(LN('BA08'!E22)-($B$8*'BA08'!K22))+$D$6/SUM($B$6:$E$6)*(LN('CB08'!E22)-($B$8*'CB08'!J22))+$E$6/SUM($B$6:$E$6)*(LN('CY08'!F23)-($B$8*'CY08'!I23))))),IF($A$25=1,IF(F6&gt;0,EXP($B$6*(LN('AS08'!K23)-($B$8*'AS08'!N23))+$C$6*(LN('BA08'!E22)-($B$8*'BA08'!I22))+$D$6*(LN('CB08'!E22)-($B$8*'CB08'!J22))+$E$6*(LN('CY08'!F23)-($B$8*'CY08'!I23))+$F$6*(LN('I08'!E21)-($B$8*'I08'!F21))),EXP($B$6*(LN('AS08'!K23)-($B$8*'AS08'!N23))+$C$6*(LN('BA08'!E22)-($B$8*'BA08'!I22))+$D$6*(LN('CB08'!E22)-($B$8*'CB08'!J22))+$E$6*(LN('CY08'!F23)-($B$8*'CY08'!I23)))),IF(F6&gt;0,EXP($B$6*(LN('AS08'!K23)-($B$8*'AS08'!N23))+$C$6*(LN('BA08'!E22)-($B$8*'BA08'!K22))+$D$6*(LN('CB08'!E22)-($B$8*'CB08'!J22))+$E$6*(LN('CY08'!F23)-($B$8*'CY08'!I23))+$F$6*(LN('I08'!E21)-($B$8*'I08'!F21))),EXP($B$6*(LN('AS08'!K23)-($B$8*'AS08'!N23))+$C$6*(LN('BA08'!E22)-($B$8*'BA08'!K22))+$D$6*(LN('CB08'!E22)-($B$8*'CB08'!J22))+$E$6*(LN('CY08'!F23)-($B$8*'CY08'!I23))))))</f>
        <v>2.9092029869957906E-2</v>
      </c>
      <c r="H29" s="77">
        <f t="shared" si="1"/>
        <v>11.965885989116442</v>
      </c>
      <c r="I29" s="28"/>
      <c r="J29" s="28"/>
      <c r="K29" s="28"/>
      <c r="L29" s="14"/>
      <c r="M29" s="14"/>
      <c r="N29" s="14"/>
      <c r="O29" s="2"/>
    </row>
    <row r="30" spans="1:15" ht="15.75" customHeight="1">
      <c r="A30" s="90" t="s">
        <v>265</v>
      </c>
      <c r="B30" s="83"/>
      <c r="C30" s="1"/>
      <c r="D30" s="31">
        <v>4</v>
      </c>
      <c r="E30" s="28">
        <f>IF(A43&lt;450,IF(F6&gt;0,EXP($B$6/SUM($B$6:$E$6)*LN('AS08'!K24)+$C$6/SUM($B$6:$E$6)*LN('BA08'!E23)+$D$6/SUM($B$6:$E$6)*LN('CB08'!E23)+$E$6/SUM($B$6:$E$6)*LN('CY08'!F24)),EXP($B$6/SUM($B$6:$E$6)*LN('AS08'!K24)+$C$6/SUM($B$6:$E$6)*LN('BA08'!E23)+$D$6/SUM($B$6:$E$6)*LN('CB08'!E23)+$E$6/SUM($B$6:$E$6)*LN('CY08'!F24))),IF(F6&gt;0,EXP($B$6*LN('AS08'!K24)+$C$6*LN('BA08'!E23)+$D$6*LN('CB08'!E23)+$E$6*LN('CY08'!F24)+$F$6*LN('I08'!E22)),EXP($B$6*LN('AS08'!K24)+$C$6*LN('BA08'!E23)+$D$6*LN('CB08'!E23)+$E$6*LN('CY08'!F24))))</f>
        <v>3.7242181486673707E-2</v>
      </c>
      <c r="F30" s="28">
        <f>IF(A43&lt;450,IF($A$25=1,IF(F6&gt;0,EXP($B$6/SUM($B$6:$E$6)*(LN('AS08'!K24)+($B$8*'AS08'!N24))+$C$6/SUM($B$6:$E$6)*(LN('BA08'!E23)+($B$8*'BA08'!I23))+$D$6/SUM($B$6:$E$6)*(LN('CB08'!E23)+($B$8*'CB08'!J23))+$E$6/SUM($B$6:$E$6)*(LN('CY08'!F24)+($B$8*'CY08'!I24))),EXP($B$6/SUM($B$6:$E$6)*(LN('AS08'!K24)+($B$8*'AS08'!N24))+$C$6/SUM($B$6:$E$6)*(LN('BA08'!E23)+($B$8*'BA08'!I23))+$D$6/SUM($B$6:$E$6)*(LN('CB08'!E23)+($B$8*'CB08'!J23))+$E$6/SUM($B$6:$E$6)*(LN('CY08'!F24)+($B$8*'CY08'!I24)))),IF(F6&gt;0,EXP($B$6/SUM($B$6:$E$6)*(LN('AS08'!K24)+($B$8*'AS08'!N24))+$C$6/SUM($B$6:$E$6)*(LN('BA08'!E23)+($B$8*'BA08'!K23))+$D$6/SUM($B$6:$E$6)*(LN('CB08'!E23)+($B$8*'CB08'!J23))+$E$6/SUM($B$6:$E$6)*(LN('CY08'!F24)+($B$8*'CY08'!I24))),EXP($B$6/SUM($B$6:$E$6)*(LN('AS08'!K24)+($B$8*'AS08'!N24))+$C$6/SUM($B$6:$E$6)*(LN('BA08'!E23)+($B$8*'BA08'!K23))+$D$6/SUM($B$6:$E$6)*(LN('CB08'!E23)+($B$8*'CB08'!J23))+$E$6/SUM($B$6:$E$6)*(LN('CY08'!F24)+($B$8*'CY08'!I24))))),IF($A$25=1,IF(F6&gt;0,EXP($B$6*(LN('AS08'!K24)+($B$8*'AS08'!N24))+$C$6*(LN('BA08'!E23)+($B$8*'BA08'!I23))+$D$6*(LN('CB08'!E23)+($B$8*'CB08'!J23))+$E$6*(LN('CY08'!F24)+($B$8*'CY08'!I24))+$F$6*(LN('I08'!E22)+($B$8*'I08'!F22))),EXP($B$6*(LN('AS08'!K24)+($B$8*'AS08'!N24))+$C$6*(LN('BA08'!E23)+($B$8*'BA08'!I23))+$D$6*(LN('CB08'!E23)+($B$8*'CB08'!J23))+$E$6*(LN('CY08'!F24)+($B$8*'CY08'!I24)))),IF(F6&gt;0,EXP($B$6*(LN('AS08'!K24)+($B$8*'AS08'!N24))+$C$6*(LN('BA08'!E23)+($B$8*'BA08'!K23))+$D$6*(LN('CB08'!E23)+($B$8*'CB08'!J23))+$E$6*(LN('CY08'!F24)+($B$8*'CY08'!I24))+$F$6*(LN('I08'!E22)+($B$8*'I08'!F22))),EXP($B$6*(LN('AS08'!K24)+($B$8*'AS08'!N24))+$C$6*(LN('BA08'!E23)+($B$8*'BA08'!K23))+$D$6*(LN('CB08'!E23)+($B$8*'CB08'!J23))+$E$6*(LN('CY08'!F24)+($B$8*'CY08'!I24))))))</f>
        <v>6.884603679080796E-2</v>
      </c>
      <c r="G30" s="28">
        <f>IF(A43&lt;450,IF($A$25=1,IF(F6&gt;0,EXP($B$6/SUM($B$6:$E$6)*(LN('AS08'!K24)-($B$8*'AS08'!N24))+$C$6/SUM($B$6:$E$6)*(LN('BA08'!E23)-($B$8*'BA08'!I23))+$D$6/SUM($B$6:$E$6)*(LN('CB08'!E23)-($B$8*'CB08'!J23))+$E$6/SUM($B$6:$E$6)*(LN('CY08'!F24)-($B$8*'CY08'!I24))),EXP($B$6/SUM($B$6:$E$6)*(LN('AS08'!K24)-($B$8*'AS08'!N24))+$C$6/SUM($B$6:$E$6)*(LN('BA08'!E23)-($B$8*'BA08'!I23))+$D$6/SUM($B$6:$E$6)*(LN('CB08'!E23)-($B$8*'CB08'!J23))+$E$6/SUM($B$6:$E$6)*(LN('CY08'!F24)-($B$8*'CY08'!I24)))),IF(F6&gt;0,EXP($B$6/SUM($B$6:$E$6)*(LN('AS08'!K24)-($B$8*'AS08'!N24))+$C$6/SUM($B$6:$E$6)*(LN('BA08'!E23)-($B$8*'BA08'!K23))+$D$6/SUM($B$6:$E$6)*(LN('CB08'!E23)-($B$8*'CB08'!J23))+$E$6/SUM($B$6:$E$6)*(LN('CY08'!F24)-($B$8*'CY08'!I24))),EXP($B$6/SUM($B$6:$E$6)*(LN('AS08'!K24)-($B$8*'AS08'!N24))+$C$6/SUM($B$6:$E$6)*(LN('BA08'!E23)-($B$8*'BA08'!K23))+$D$6/SUM($B$6:$E$6)*(LN('CB08'!E23)-($B$8*'CB08'!J23))+$E$6/SUM($B$6:$E$6)*(LN('CY08'!F24)-($B$8*'CY08'!I24))))),IF($A$25=1,IF(F6&gt;0,EXP($B$6*(LN('AS08'!K24)-($B$8*'AS08'!N24))+$C$6*(LN('BA08'!E23)-($B$8*'BA08'!I23))+$D$6*(LN('CB08'!E23)-($B$8*'CB08'!J23))+$E$6*(LN('CY08'!F24)-($B$8*'CY08'!I24))+$F$6*(LN('I08'!E22)-($B$8*'I08'!F22))),EXP($B$6*(LN('AS08'!K24)-($B$8*'AS08'!N24))+$C$6*(LN('BA08'!E23)-($B$8*'BA08'!I23))+$D$6*(LN('CB08'!E23)-($B$8*'CB08'!J23))+$E$6*(LN('CY08'!F24)-($B$8*'CY08'!I24)))),IF(F6&gt;0,EXP($B$6*(LN('AS08'!K24)-($B$8*'AS08'!N24))+$C$6*(LN('BA08'!E23)-($B$8*'BA08'!K23))+$D$6*(LN('CB08'!E23)-($B$8*'CB08'!J23))+$E$6*(LN('CY08'!F24)-($B$8*'CY08'!I24))+$F$6*(LN('I08'!E22)-($B$8*'I08'!F22))),EXP($B$6*(LN('AS08'!K24)-($B$8*'AS08'!N24))+$C$6*(LN('BA08'!E23)-($B$8*'BA08'!K23))+$D$6*(LN('CB08'!E23)-($B$8*'CB08'!J23))+$E$6*(LN('CY08'!F24)-($B$8*'CY08'!I24))))))</f>
        <v>2.0146113655035051E-2</v>
      </c>
      <c r="H30" s="28">
        <f t="shared" si="1"/>
        <v>14.791813885837954</v>
      </c>
      <c r="I30" s="28"/>
      <c r="J30" s="28"/>
      <c r="K30" s="28"/>
      <c r="L30" s="14"/>
      <c r="M30" s="14"/>
      <c r="N30" s="14"/>
      <c r="O30" s="2"/>
    </row>
    <row r="31" spans="1:15" ht="15.75" customHeight="1">
      <c r="A31" s="62">
        <v>1</v>
      </c>
      <c r="B31" s="68"/>
      <c r="C31" s="1"/>
      <c r="D31" s="31">
        <v>5</v>
      </c>
      <c r="E31" s="28">
        <f>IF(A43&lt;450,IF(F6&gt;0,EXP($B$6/SUM($B$6:$E$6)*LN('AS08'!K25)+$C$6/SUM($B$6:$E$6)*LN('BA08'!E24)+$D$6/SUM($B$6:$E$6)*LN('CB08'!E24)+$E$6/SUM($B$6:$E$6)*LN('CY08'!F25)),EXP($B$6/SUM($B$6:$E$6)*LN('AS08'!K25)+$C$6/SUM($B$6:$E$6)*LN('BA08'!E24)+$D$6/SUM($B$6:$E$6)*LN('CB08'!E24)+$E$6/SUM($B$6:$E$6)*LN('CY08'!F25))),IF(F6&gt;0,EXP($B$6*LN('AS08'!K25)+$C$6*LN('BA08'!E24)+$D$6*LN('CB08'!E24)+$E$6*LN('CY08'!F25)+$F$6*LN('I08'!E23)),EXP($B$6*LN('AS08'!K25)+$C$6*LN('BA08'!E24)+$D$6*LN('CB08'!E24)+$E$6*LN('CY08'!F25))))</f>
        <v>2.8191033565289739E-2</v>
      </c>
      <c r="F31" s="28">
        <f>IF(A43&lt;450,IF($A$25=1,IF(F6&gt;0,EXP($B$6/SUM($B$6:$E$6)*(LN('AS08'!K25)+($B$8*'AS08'!N25))+$C$6/SUM($B$6:$E$6)*(LN('BA08'!E24)+($B$8*'BA08'!I24))+$D$6/SUM($B$6:$E$6)*(LN('CB08'!E24)+($B$8*'CB08'!J24))+$E$6/SUM($B$6:$E$6)*(LN('CY08'!F25)+($B$8*'CY08'!I25))),EXP($B$6/SUM($B$6:$E$6)*(LN('AS08'!K25)+($B$8*'AS08'!N25))+$C$6/SUM($B$6:$E$6)*(LN('BA08'!E24)+($B$8*'BA08'!I24))+$D$6/SUM($B$6:$E$6)*(LN('CB08'!E24)+($B$8*'CB08'!J24))+$E$6/SUM($B$6:$E$6)*(LN('CY08'!F25)+($B$8*'CY08'!I25)))),IF(F6&gt;0,EXP($B$6/SUM($B$6:$E$6)*(LN('AS08'!K25)+($B$8*'AS08'!N25))+$C$6/SUM($B$6:$E$6)*(LN('BA08'!E24)+($B$8*'BA08'!K24))+$D$6/SUM($B$6:$E$6)*(LN('CB08'!E24)+($B$8*'CB08'!J24))+$E$6/SUM($B$6:$E$6)*(LN('CY08'!F25)+($B$8*'CY08'!I25))),EXP($B$6/SUM($B$6:$E$6)*(LN('AS08'!K25)+($B$8*'AS08'!N25))+$C$6/SUM($B$6:$E$6)*(LN('BA08'!E24)+($B$8*'BA08'!K24))+$D$6/SUM($B$6:$E$6)*(LN('CB08'!E24)+($B$8*'CB08'!J24))+$E$6/SUM($B$6:$E$6)*(LN('CY08'!F25)+($B$8*'CY08'!I25))))),IF($A$25=1,IF(F6&gt;0,EXP($B$6*(LN('AS08'!K25)+($B$8*'AS08'!N25))+$C$6*(LN('BA08'!E24)+($B$8*'BA08'!I24))+$D$6*(LN('CB08'!E24)+($B$8*'CB08'!J24))+$E$6*(LN('CY08'!F25)+($B$8*'CY08'!I25))+$F$6*(LN('I08'!E23)+($B$8*'I08'!F23))),EXP($B$6*(LN('AS08'!K25)+($B$8*'AS08'!N25))+$C$6*(LN('BA08'!E24)+($B$8*'BA08'!I24))+$D$6*(LN('CB08'!E24)+($B$8*'CB08'!J24))+$E$6*(LN('CY08'!F25)+($B$8*'CY08'!I25)))),IF(F6&gt;0,EXP($B$6*(LN('AS08'!K25)+($B$8*'AS08'!N25))+$C$6*(LN('BA08'!E24)+($B$8*'BA08'!K24))+$D$6*(LN('CB08'!E24)+($B$8*'CB08'!J24))+$E$6*(LN('CY08'!F25)+($B$8*'CY08'!I25))+$F$6*(LN('I08'!E23)+($B$8*'I08'!F23))),EXP($B$6*(LN('AS08'!K25)+($B$8*'AS08'!N25))+$C$6*(LN('BA08'!E24)+($B$8*'BA08'!K24))+$D$6*(LN('CB08'!E24)+($B$8*'CB08'!J24))+$E$6*(LN('CY08'!F25)+($B$8*'CY08'!I25))))))</f>
        <v>5.3160068573888525E-2</v>
      </c>
      <c r="G31" s="28">
        <f>IF(A43&lt;450,IF($A$25=1,IF(F6&gt;0,EXP($B$6/SUM($B$6:$E$6)*(LN('AS08'!K25)-($B$8*'AS08'!N25))+$C$6/SUM($B$6:$E$6)*(LN('BA08'!E24)-($B$8*'BA08'!I24))+$D$6/SUM($B$6:$E$6)*(LN('CB08'!E24)-($B$8*'CB08'!J24))+$E$6/SUM($B$6:$E$6)*(LN('CY08'!F25)-($B$8*'CY08'!I25))),EXP($B$6/SUM($B$6:$E$6)*(LN('AS08'!K25)-($B$8*'AS08'!N25))+$C$6/SUM($B$6:$E$6)*(LN('BA08'!E24)-($B$8*'BA08'!I24))+$D$6/SUM($B$6:$E$6)*(LN('CB08'!E24)-($B$8*'CB08'!J24))+$E$6/SUM($B$6:$E$6)*(LN('CY08'!F25)-($B$8*'CY08'!I25)))),IF(F6&gt;0,EXP($B$6/SUM($B$6:$E$6)*(LN('AS08'!K25)-($B$8*'AS08'!N25))+$C$6/SUM($B$6:$E$6)*(LN('BA08'!E24)-($B$8*'BA08'!K24))+$D$6/SUM($B$6:$E$6)*(LN('CB08'!E24)-($B$8*'CB08'!J24))+$E$6/SUM($B$6:$E$6)*(LN('CY08'!F25)-($B$8*'CY08'!I25))),EXP($B$6/SUM($B$6:$E$6)*(LN('AS08'!K25)-($B$8*'AS08'!N25))+$C$6/SUM($B$6:$E$6)*(LN('BA08'!E24)-($B$8*'BA08'!K24))+$D$6/SUM($B$6:$E$6)*(LN('CB08'!E24)-($B$8*'CB08'!J24))+$E$6/SUM($B$6:$E$6)*(LN('CY08'!F25)-($B$8*'CY08'!I25))))),IF($A$25=1,IF(F6&gt;0,EXP($B$6*(LN('AS08'!K25)-($B$8*'AS08'!N25))+$C$6*(LN('BA08'!E24)-($B$8*'BA08'!I24))+$D$6*(LN('CB08'!E24)-($B$8*'CB08'!J24))+$E$6*(LN('CY08'!F25)-($B$8*'CY08'!I25))+$F$6*(LN('I08'!E23)-($B$8*'I08'!F23))),EXP($B$6*(LN('AS08'!K25)-($B$8*'AS08'!N25))+$C$6*(LN('BA08'!E24)-($B$8*'BA08'!I24))+$D$6*(LN('CB08'!E24)-($B$8*'CB08'!J24))+$E$6*(LN('CY08'!F25)-($B$8*'CY08'!I25)))),IF(F6&gt;0,EXP($B$6*(LN('AS08'!K25)-($B$8*'AS08'!N25))+$C$6*(LN('BA08'!E24)-($B$8*'BA08'!K24))+$D$6*(LN('CB08'!E24)-($B$8*'CB08'!J24))+$E$6*(LN('CY08'!F25)-($B$8*'CY08'!I25))+$F$6*(LN('I08'!E23)-($B$8*'I08'!F23))),EXP($B$6*(LN('AS08'!K25)-($B$8*'AS08'!N25))+$C$6*(LN('BA08'!E24)-($B$8*'BA08'!K24))+$D$6*(LN('CB08'!E24)-($B$8*'CB08'!J24))+$E$6*(LN('CY08'!F25)-($B$8*'CY08'!I25))))))</f>
        <v>1.4949837251896528E-2</v>
      </c>
      <c r="H31" s="28">
        <f t="shared" si="1"/>
        <v>17.495136944733186</v>
      </c>
      <c r="I31" s="28"/>
      <c r="J31" s="28"/>
      <c r="K31" s="28"/>
      <c r="L31" s="14"/>
      <c r="M31" s="14"/>
      <c r="N31" s="14"/>
      <c r="O31" s="2"/>
    </row>
    <row r="32" spans="1:15" ht="15.75" customHeight="1">
      <c r="A32" s="62"/>
      <c r="C32" s="1"/>
      <c r="D32" s="79">
        <v>7.5</v>
      </c>
      <c r="E32" s="77">
        <f>IF(SUM(B6:E6)=0,"-",EXP($B$6/SUM($B$6:$E$6)*LN('AS08'!K26)+$C$6/SUM($B$6:$E$6)*LN('BA08'!E25)+$D$6/SUM($B$6:$E$6)*LN('CB08'!E25)+$E$6/SUM($B$6:$E$6)*LN('CY08'!F26)))</f>
        <v>1.6881933552004031E-2</v>
      </c>
      <c r="F32" s="77">
        <f>IF(SUM(B6:E6)=0,"-",IF($A$25=1,EXP($B$6/SUM($B$6:$E$6)*(LN('AS08'!K26)+($B$8*'AS08'!N26))+$C$6/SUM($B$6:$E$6)*(LN('BA08'!E25)+($B$8*'BA08'!I25))+$D$6/SUM($B$6:$E$6)*(LN('CB08'!E25)+($B$8*'CB08'!J25))+$E$6/SUM($B$6:$E$6)*(LN('CY08'!F26)+($B$8*'CY08'!I26))),EXP($B$6/SUM($B$6:$E$6)*(LN('AS08'!K26)+($B$8*'AS08'!N26))+$C$6/SUM($B$6:$E$6)*(LN('BA08'!E25)+($B$8*'BA08'!K25))+$D$6/SUM($B$6:$E$6)*(LN('CB08'!E25)+($B$8*'CB08'!J25))+$E$6/SUM($B$6:$E$6)*(LN('CY08'!F26)+($B$8*'CY08'!I26)))))</f>
        <v>3.3208624667319157E-2</v>
      </c>
      <c r="G32" s="77">
        <f>IF(SUM(B6:E6)=0,"-",IF($A$25=1,EXP($B$6/SUM($B$6:$E$6)*(LN('AS08'!K26)-($B$8*'AS08'!N26))+$C$6/SUM($B$6:$E$6)*(LN('BA08'!E25)-($B$8*'BA08'!I25))+$D$6/SUM($B$6:$E$6)*(LN('CB08'!E25)-($B$8*'CB08'!J25))+$E$6/SUM($B$6:$E$6)*(LN('CY08'!F26)-($B$8*'CY08'!I26))),EXP($B$6/SUM($B$6:$E$6)*(LN('AS08'!K26)-($B$8*'AS08'!N26))+$C$6/SUM($B$6:$E$6)*(LN('BA08'!E25)-($B$8*'BA08'!K25))+$D$6/SUM($B$6:$E$6)*(LN('CB08'!E25)-($B$8*'CB08'!J25))+$E$6/SUM($B$6:$E$6)*(LN('CY08'!F26)-($B$8*'CY08'!I26)))))</f>
        <v>8.5820982744506634E-3</v>
      </c>
      <c r="H32" s="77">
        <f>IF(SUM(B6:E6)=0,"-",(E32*980)/(2*PI()/D32)^2)</f>
        <v>23.572793529381617</v>
      </c>
      <c r="I32" s="27"/>
      <c r="J32" s="27"/>
      <c r="K32" s="27"/>
      <c r="L32" s="2"/>
      <c r="M32" s="2"/>
      <c r="N32" s="2"/>
      <c r="O32" s="2"/>
    </row>
    <row r="33" spans="1:19" ht="15.75" customHeight="1">
      <c r="A33" s="90" t="s">
        <v>266</v>
      </c>
      <c r="C33" s="1"/>
      <c r="D33" s="31">
        <v>10</v>
      </c>
      <c r="E33" s="28">
        <f>IF(A43&lt;450,IF(F6&gt;0,EXP($B$6/SUM($B$6:$E$6)*LN('AS08'!K27)+$C$6/SUM($B$6:$E$6)*LN('BA08'!E26)+$D$6/SUM($B$6:$E$6)*LN('CB08'!E26)+$E$6/SUM($B$6:$E$6)*LN('CY08'!F27)),EXP($B$6/SUM($B$6:$E$6)*LN('AS08'!K27)+$C$6/SUM($B$6:$E$6)*LN('BA08'!E26)+$D$6/SUM($B$6:$E$6)*LN('CB08'!E26)+$E$6/SUM($B$6:$E$6)*LN('CY08'!F27))),IF(F6&gt;0,EXP($B$6*LN('AS08'!K27)+$C$6*LN('BA08'!E26)+$D$6*LN('CB08'!E26)+$E$6*LN('CY08'!F27)+$F$6*LN('I08'!E24)),EXP($B$6*LN('AS08'!K27)+$C$6*LN('BA08'!E26)+$D$6*LN('CB08'!E26)+$E$6*LN('CY08'!F27))))</f>
        <v>1.1198422485104439E-2</v>
      </c>
      <c r="F33" s="28">
        <f>IF(A43&lt;450,IF($A$25=1,IF(F6&gt;0,EXP($B$6/SUM($B$6:$E$6)*(LN('AS08'!K27)+($B$8*'AS08'!N27))+$C$6/SUM($B$6:$E$6)*(LN('BA08'!E26)+($B$8*'BA08'!I26))+$D$6/SUM($B$6:$E$6)*(LN('CB08'!E26)+($B$8*'CB08'!J26))+$E$6/SUM($B$6:$E$6)*(LN('CY08'!F27)+($B$8*'CY08'!I27))),EXP($B$6/SUM($B$6:$E$6)*(LN('AS08'!K27)+($B$8*'AS08'!N27))+$C$6/SUM($B$6:$E$6)*(LN('BA08'!E26)+($B$8*'BA08'!I26))+$D$6/SUM($B$6:$E$6)*(LN('CB08'!E26)+($B$8*'CB08'!J26))+$E$6/SUM($B$6:$E$6)*(LN('CY08'!F27)+($B$8*'CY08'!I27)))),IF(F6&gt;0,EXP($B$6/SUM($B$6:$E$6)*(LN('AS08'!K27)+($B$8*'AS08'!N27))+$C$6/SUM($B$6:$E$6)*(LN('BA08'!E26)+($B$8*'BA08'!K26))+$D$6/SUM($B$6:$E$6)*(LN('CB08'!E26)+($B$8*'CB08'!J26))+$E$6/SUM($B$6:$E$6)*(LN('CY08'!F27)+($B$8*'CY08'!I27))),EXP($B$6/SUM($B$6:$E$6)*(LN('AS08'!K27)+($B$8*'AS08'!N27))+$C$6/SUM($B$6:$E$6)*(LN('BA08'!E26)+($B$8*'BA08'!K26))+$D$6/SUM($B$6:$E$6)*(LN('CB08'!E26)+($B$8*'CB08'!J26))+$E$6/SUM($B$6:$E$6)*(LN('CY08'!F27)+($B$8*'CY08'!I27))))),IF($A$25=1,IF(F6&gt;0,EXP($B$6*(LN('AS08'!K27)+($B$8*'AS08'!N27))+$C$6*(LN('BA08'!E26)+($B$8*'BA08'!I26))+$D$6*(LN('CB08'!E26)+($B$8*'CB08'!J26))+$E$6*(LN('CY08'!F27)+($B$8*'CY08'!I27))+$F$6*(LN('I08'!E24)+($B$8*'I08'!F24))),EXP($B$6*(LN('AS08'!K27)+($B$8*'AS08'!N27))+$C$6*(LN('BA08'!E26)+($B$8*'BA08'!I26))+$D$6*(LN('CB08'!E26)+($B$8*'CB08'!J26))+$E$6*(LN('CY08'!F27)+($B$8*'CY08'!I27)))),IF(F6&gt;0,EXP($B$6*(LN('AS08'!K27)+($B$8*'AS08'!N27))+$C$6*(LN('BA08'!E26)+($B$8*'BA08'!K26))+$D$6*(LN('CB08'!E26)+($B$8*'CB08'!J26))+$E$6*(LN('CY08'!F27)+($B$8*'CY08'!I27))+$F$6*(LN('I08'!E24)+($B$8*'I08'!F24))),EXP($B$6*(LN('AS08'!K27)+($B$8*'AS08'!N27))+$C$6*(LN('BA08'!E26)+($B$8*'BA08'!K26))+$D$6*(LN('CB08'!E26)+($B$8*'CB08'!J26))+$E$6*(LN('CY08'!F27)+($B$8*'CY08'!I27))))))</f>
        <v>2.2664195621916686E-2</v>
      </c>
      <c r="G33" s="28">
        <f>IF(A43&lt;450,IF($A$25=1,IF(F6&gt;0,EXP($B$6/SUM($B$6:$E$6)*(LN('AS08'!K27)-($B$8*'AS08'!N27))+$C$6/SUM($B$6:$E$6)*(LN('BA08'!E26)-($B$8*'BA08'!I26))+$D$6/SUM($B$6:$E$6)*(LN('CB08'!E26)-($B$8*'CB08'!J26))+$E$6/SUM($B$6:$E$6)*(LN('CY08'!F27)-($B$8*'CY08'!I27))),EXP($B$6/SUM($B$6:$E$6)*(LN('AS08'!K27)-($B$8*'AS08'!N27))+$C$6/SUM($B$6:$E$6)*(LN('BA08'!E26)-($B$8*'BA08'!I26))+$D$6/SUM($B$6:$E$6)*(LN('CB08'!E26)-($B$8*'CB08'!J26))+$E$6/SUM($B$6:$E$6)*(LN('CY08'!F27)-($B$8*'CY08'!I27)))),IF(F6&gt;0,EXP($B$6/SUM($B$6:$E$6)*(LN('AS08'!K27)-($B$8*'AS08'!N27))+$C$6/SUM($B$6:$E$6)*(LN('BA08'!E26)-($B$8*'BA08'!K26))+$D$6/SUM($B$6:$E$6)*(LN('CB08'!E26)-($B$8*'CB08'!J26))+$E$6/SUM($B$6:$E$6)*(LN('CY08'!F27)-($B$8*'CY08'!I27))),EXP($B$6/SUM($B$6:$E$6)*(LN('AS08'!K27)-($B$8*'AS08'!N27))+$C$6/SUM($B$6:$E$6)*(LN('BA08'!E26)-($B$8*'BA08'!K26))+$D$6/SUM($B$6:$E$6)*(LN('CB08'!E26)-($B$8*'CB08'!J26))+$E$6/SUM($B$6:$E$6)*(LN('CY08'!F27)-($B$8*'CY08'!I27))))),IF($A$25=1,IF(F6&gt;0,EXP($B$6*(LN('AS08'!K27)-($B$8*'AS08'!N27))+$C$6*(LN('BA08'!E26)-($B$8*'BA08'!I26))+$D$6*(LN('CB08'!E26)-($B$8*'CB08'!J26))+$E$6*(LN('CY08'!F27)-($B$8*'CY08'!I27))+$F$6*(LN('I08'!E24)-($B$8*'I08'!F24))),EXP($B$6*(LN('AS08'!K27)-($B$8*'AS08'!N27))+$C$6*(LN('BA08'!E26)-($B$8*'BA08'!I26))+$D$6*(LN('CB08'!E26)-($B$8*'CB08'!J26))+$E$6*(LN('CY08'!F27)-($B$8*'CY08'!I27)))),IF(F6&gt;0,EXP($B$6*(LN('AS08'!K27)-($B$8*'AS08'!N27))+$C$6*(LN('BA08'!E26)-($B$8*'BA08'!K26))+$D$6*(LN('CB08'!E26)-($B$8*'CB08'!J26))+$E$6*(LN('CY08'!F27)-($B$8*'CY08'!I27))+$F$6*(LN('I08'!E24)-($B$8*'I08'!F24))),EXP($B$6*(LN('AS08'!K27)-($B$8*'AS08'!N27))+$C$6*(LN('BA08'!E26)-($B$8*'BA08'!K26))+$D$6*(LN('CB08'!E26)-($B$8*'CB08'!J26))+$E$6*(LN('CY08'!F27)-($B$8*'CY08'!I27))))))</f>
        <v>5.5331620079039608E-3</v>
      </c>
      <c r="H33" s="28">
        <f>(E33*980)/(2*PI()/D33)^2</f>
        <v>27.798616817384911</v>
      </c>
      <c r="I33" s="32"/>
      <c r="J33" s="32"/>
      <c r="K33" s="27"/>
      <c r="L33" s="2"/>
      <c r="M33" s="2"/>
      <c r="N33" s="2"/>
      <c r="O33" s="2"/>
    </row>
    <row r="34" spans="1:19" ht="15.75" customHeight="1">
      <c r="A34" s="62">
        <v>0</v>
      </c>
      <c r="C34" s="1"/>
      <c r="D34" s="31"/>
      <c r="E34" s="28"/>
      <c r="F34" s="28"/>
      <c r="G34" s="28"/>
      <c r="H34" s="33"/>
      <c r="I34" s="33"/>
      <c r="J34" s="33"/>
      <c r="K34" s="27"/>
      <c r="L34" s="2"/>
      <c r="M34" s="2"/>
      <c r="N34" s="2"/>
      <c r="O34" s="2"/>
    </row>
    <row r="35" spans="1:19" ht="15.75" customHeight="1">
      <c r="A35" s="59"/>
      <c r="B35" s="68"/>
      <c r="C35" s="1"/>
      <c r="D35" s="31"/>
      <c r="E35" s="34"/>
      <c r="F35" s="35"/>
      <c r="G35" s="33"/>
      <c r="H35" s="33"/>
      <c r="I35" s="33"/>
      <c r="J35" s="28"/>
      <c r="K35" s="27"/>
      <c r="L35" s="2"/>
      <c r="M35" s="2"/>
      <c r="N35" s="2"/>
      <c r="O35" s="2"/>
    </row>
    <row r="36" spans="1:19" ht="15.75" customHeight="1">
      <c r="A36" s="90" t="s">
        <v>267</v>
      </c>
      <c r="B36" s="36"/>
      <c r="C36" s="1" t="s">
        <v>31</v>
      </c>
      <c r="D36" s="32">
        <v>0</v>
      </c>
      <c r="E36" s="68">
        <f>IF(A43&lt;450,IF(F6&gt;0,EXP($B$6/SUM($B$6:$E$6)*LN('AS08'!K29)+$C$6/SUM($B$6:$E$6)*LN('BA08'!E28)+$D$6/SUM($B$6:$E$6)*LN('CB08'!E28)+$E$6/SUM($B$6:$E$6)*LN('CY08'!F29)),EXP($B$6/SUM($B$6:$E$6)*LN('AS08'!K29)+$C$6/SUM($B$6:$E$6)*LN('BA08'!E28)+$D$6/SUM($B$6:$E$6)*LN('CB08'!E28)+$E$6/SUM($B$6:$E$6)*LN('CY08'!F29))),IF(F6&gt;0,EXP($B$6*LN('AS08'!K29)+$C$6*LN('BA08'!E28)+$D$6*LN('CB08'!E28)+$E$6*LN('CY08'!F29)+$F$6*LN('I08'!E26)),EXP($B$6*LN('AS08'!K29)+$C$6*LN('BA08'!E28)+$D$6*LN('CB08'!E28)+$E$6*LN('CY08'!F29))))</f>
        <v>0.16910241809761742</v>
      </c>
      <c r="F36" s="28">
        <f>IF(A43&lt;450,IF($A$25=1,IF(F6&gt;0,EXP($B$6/SUM($B$6:$E$6)*(LN('AS08'!K29)+($B$8*'AS08'!N29))+$C$6/SUM($B$6:$E$6)*(LN('BA08'!E28)+($B$8*'BA08'!I28))+$D$6/SUM($B$6:$E$6)*(LN('CB08'!E28)+($B$8*'CB08'!J28))+$E$6/SUM($B$6:$E$6)*(LN('CY08'!F29)+($B$8*'CY08'!I29))),EXP($B$6/SUM($B$6:$E$6)*(LN('AS08'!K29)+($B$8*'AS08'!N29))+$C$6/SUM($B$6:$E$6)*(LN('BA08'!E28)+($B$8*'BA08'!I28))+$D$6/SUM($B$6:$E$6)*(LN('CB08'!E28)+($B$8*'CB08'!J28))+$E$6/SUM($B$6:$E$6)*(LN('CY08'!F29)+($B$8*'CY08'!I29)))),IF(F6&gt;0,EXP($B$6/SUM($B$6:$E$6)*(LN('AS08'!K29)+($B$8*'AS08'!N29))+$C$6/SUM($B$6:$E$6)*(LN('BA08'!E28)+($B$8*'BA08'!K28))+$D$6/SUM($B$6:$E$6)*(LN('CB08'!E28)+($B$8*'CB08'!J28))+$E$6/SUM($B$6:$E$6)*(LN('CY08'!F29)+($B$8*'CY08'!I29))),EXP($B$6/SUM($B$6:$E$6)*(LN('AS08'!K29)+($B$8*'AS08'!N29))+$C$6/SUM($B$6:$E$6)*(LN('BA08'!E28)+($B$8*'BA08'!K28))+$D$6/SUM($B$6:$E$6)*(LN('CB08'!E28)+($B$8*'CB08'!J28))+$E$6/SUM($B$6:$E$6)*(LN('CY08'!F29)+($B$8*'CY08'!I29))))),IF($A$25=1,IF(F6&gt;0,EXP($B$6*(LN('AS08'!K29)+($B$8*'AS08'!N29))+$C$6*(LN('BA08'!E28)+($B$8*'BA08'!I28))+$D$6*(LN('CB08'!E28)+($B$8*'CB08'!J28))+$E$6*(LN('CY08'!F29)+($B$8*'CY08'!I29))+$F$6*(LN('I08'!E26)+($B$8*'I08'!F26))),EXP($B$6*(LN('AS08'!K29)+($B$8*'AS08'!N29))+$C$6*(LN('BA08'!E28)+($B$8*'BA08'!I28))+$D$6*(LN('CB08'!E28)+($B$8*'CB08'!J28))+$E$6*(LN('CY08'!F29)+($B$8*'CY08'!I29)))),IF(F6&gt;0,EXP($B$6*(LN('AS08'!K29)+($B$8*'AS08'!N29))+$C$6*(LN('BA08'!E28)+($B$8*'BA08'!K28))+$D$6*(LN('CB08'!E28)+($B$8*'CB08'!J28))+$E$6*(LN('CY08'!F29)+($B$8*'CY08'!I29))+$F$6*(LN('I08'!E26)+($B$8*'I08'!F26))),EXP($B$6*(LN('AS08'!K29)+($B$8*'AS08'!N29))+$C$6*(LN('BA08'!E28)+($B$8*'BA08'!K28))+$D$6*(LN('CB08'!E28)+($B$8*'CB08'!J28))+$E$6*(LN('CY08'!F29)+($B$8*'CY08'!I29))))))</f>
        <v>0.289741069777468</v>
      </c>
      <c r="G36" s="68">
        <f>IF(A43&lt;450,IF($A$25=1,IF(F6&gt;0,EXP($B$6/SUM($B$6:$E$6)*(LN('AS08'!K29)-($B$8*'AS08'!N29))+$C$6/SUM($B$6:$E$6)*(LN('BA08'!E28)-($B$8*'BA08'!I28))+$D$6/SUM($B$6:$E$6)*(LN('CB08'!E28)-($B$8*'CB08'!J28))+$E$6/SUM($B$6:$E$6)*(LN('CY08'!F29)-($B$8*'CY08'!I29))),EXP($B$6/SUM($B$6:$E$6)*(LN('AS08'!K29)-($B$8*'AS08'!N29))+$C$6/SUM($B$6:$E$6)*(LN('BA08'!E28)-($B$8*'BA08'!I28))+$D$6/SUM($B$6:$E$6)*(LN('CB08'!E28)-($B$8*'CB08'!J28))+$E$6/SUM($B$6:$E$6)*(LN('CY08'!F29)-($B$8*'CY08'!I29)))),IF(F6&gt;0,EXP($B$6/SUM($B$6:$E$6)*(LN('AS08'!K29)-($B$8*'AS08'!N29))+$C$6/SUM($B$6:$E$6)*(LN('BA08'!E28)-($B$8*'BA08'!K28))+$D$6/SUM($B$6:$E$6)*(LN('CB08'!E28)-($B$8*'CB08'!J28))+$E$6/SUM($B$6:$E$6)*(LN('CY08'!F29)-($B$8*'CY08'!I29))),EXP($B$6/SUM($B$6:$E$6)*(LN('AS08'!K29)-($B$8*'AS08'!N29))+$C$6/SUM($B$6:$E$6)*(LN('BA08'!E28)-($B$8*'BA08'!K28))+$D$6/SUM($B$6:$E$6)*(LN('CB08'!E28)-($B$8*'CB08'!J28))+$E$6/SUM($B$6:$E$6)*(LN('CY08'!F29)-($B$8*'CY08'!I29))))),IF($A$25=1,IF(F6&gt;0,EXP($B$6*(LN('AS08'!K29)-($B$8*'AS08'!N29))+$C$6*(LN('BA08'!E28)-($B$8*'BA08'!I28))+$D$6*(LN('CB08'!E28)-($B$8*'CB08'!J28))+$E$6*(LN('CY08'!F29)-($B$8*'CY08'!I29))+$F$6*(LN('I08'!E26)-($B$8*'I08'!F26))),EXP($B$6*(LN('AS08'!K29)-($B$8*'AS08'!N29))+$C$6*(LN('BA08'!E28)-($B$8*'BA08'!I28))+$D$6*(LN('CB08'!E28)-($B$8*'CB08'!J28))+$E$6*(LN('CY08'!F29)-($B$8*'CY08'!I29)))),IF(F6&gt;0,EXP($B$6*(LN('AS08'!K29)-($B$8*'AS08'!N29))+$C$6*(LN('BA08'!E28)-($B$8*'BA08'!K28))+$D$6*(LN('CB08'!E28)-($B$8*'CB08'!J28))+$E$6*(LN('CY08'!F29)-($B$8*'CY08'!I29))+$F$6*(LN('I08'!E26)-($B$8*'I08'!F26))),EXP($B$6*(LN('AS08'!K29)-($B$8*'AS08'!N29))+$C$6*(LN('BA08'!E28)-($B$8*'BA08'!K28))+$D$6*(LN('CB08'!E28)-($B$8*'CB08'!J28))+$E$6*(LN('CY08'!F29)-($B$8*'CY08'!I29))))))</f>
        <v>9.8693733092184432E-2</v>
      </c>
      <c r="O36" s="2"/>
    </row>
    <row r="37" spans="1:19" ht="15.75" customHeight="1">
      <c r="A37" s="58">
        <v>0</v>
      </c>
      <c r="B37" s="36"/>
      <c r="C37" s="80" t="s">
        <v>59</v>
      </c>
      <c r="D37" s="81">
        <v>-1</v>
      </c>
      <c r="E37" s="82">
        <f>IF(SUM(B6:E6)=0,"-",EXP($B$6/SUM($B$6:$E$6)*LN('AS08'!K30)+$C$6/SUM($B$6:$E$6)*LN('BA08'!E29)+$D$6/SUM($B$6:$E$6)*LN('CB08'!E29)+$E$6/SUM($B$6:$E$6)*LN('CY08'!F30)))</f>
        <v>16.822831361893329</v>
      </c>
      <c r="F37" s="28">
        <f>IF(SUM(B6:E6)=0,"-",IF($A$23=1,EXP($B$6/SUM($B$6:$E$6)*(LN('AS08'!K30)+($B$8*'AS08'!N30))+$C$6/SUM($B$6:$E$6)*(LN('BA08'!E29)+($B$8*'BA08'!I29))+$D$6/SUM($B$6:$E$6)*(LN('CB08'!E29)+($B$8*'CB08'!J29))+$E$6/SUM($B$6:$E$6)*(LN('CY08'!F30)+($B$8*'CY08'!I30))),EXP($B$6/SUM($B$6:$E$6)*(LN('AS08'!K30)+($B$8*'AS08'!N30))+$C$6/SUM($B$6:$E$6)*(LN('BA08'!E29)+($B$8*'BA08'!K29))+$D$6/SUM($B$6:$E$6)*(LN('CB08'!E29)+($B$8*'CB08'!J29))+$E$6/SUM($B$6:$E$6)*(LN('CY08'!F30)+($B$8*'CY08'!I30)))))</f>
        <v>28.964425324718054</v>
      </c>
      <c r="G37" s="68">
        <f>IF(SUM(B6:E6)=0,"-",IF($A$23=1,EXP($B$6/SUM($B$6:$E$6)*(LN('AS08'!K30)-($B$8*'AS08'!N30))+$C$6/SUM($B$6:$E$6)*(LN('BA08'!E29)-($B$8*'BA08'!I29))+$D$6/SUM($B$6:$E$6)*(LN('CB08'!E29)-($B$8*'CB08'!J29))+$E$6/SUM($B$6:$E$6)*(LN('CY08'!F30)-($B$8*'CY08'!I30))),EXP($B$6/SUM($B$6:$E$6)*(LN('AS08'!K30)-($B$8*'AS08'!N30))+$C$6/SUM($B$6:$E$6)*(LN('BA08'!E29)-($B$8*'BA08'!K29))+$D$6/SUM($B$6:$E$6)*(LN('CB08'!E29)-($B$8*'CB08'!J29))+$E$6/SUM($B$6:$E$6)*(LN('CY08'!F30)-($B$8*'CY08'!I30)))))</f>
        <v>9.7708707097732361</v>
      </c>
      <c r="O37" s="2"/>
    </row>
    <row r="38" spans="1:19" ht="15.75" customHeight="1">
      <c r="A38" s="58"/>
      <c r="B38" s="37"/>
      <c r="C38" s="16"/>
      <c r="O38" s="2"/>
    </row>
    <row r="39" spans="1:19" ht="15.75" customHeight="1">
      <c r="A39" s="92" t="s">
        <v>56</v>
      </c>
      <c r="B39" s="37"/>
      <c r="C39" s="16"/>
      <c r="O39" s="2"/>
    </row>
    <row r="40" spans="1:19" ht="15.75" customHeight="1">
      <c r="A40" s="62">
        <v>90</v>
      </c>
      <c r="B40" s="37"/>
      <c r="C40" s="16"/>
      <c r="O40" s="2"/>
      <c r="R40" s="4"/>
      <c r="S40" s="4"/>
    </row>
    <row r="41" spans="1:19" ht="15.75" customHeight="1">
      <c r="A41" s="62"/>
      <c r="B41" s="38"/>
      <c r="C41" s="16"/>
      <c r="O41" s="2"/>
      <c r="R41" s="4"/>
      <c r="S41" s="4"/>
    </row>
    <row r="42" spans="1:19" ht="15.75" customHeight="1">
      <c r="A42" s="90" t="s">
        <v>268</v>
      </c>
      <c r="B42" s="37"/>
      <c r="C42" s="16"/>
      <c r="O42" s="2"/>
      <c r="P42" s="13"/>
      <c r="Q42" s="13"/>
      <c r="R42" s="14"/>
      <c r="S42" s="14"/>
    </row>
    <row r="43" spans="1:19" ht="15.75" customHeight="1">
      <c r="A43" s="62">
        <v>760</v>
      </c>
      <c r="B43" s="98" t="str">
        <f>IF(AND(A43&gt;1500,OR(B6&gt;0,D6&gt;0,E6&gt;0)),"Maximum Vs30 of 1500 m/sec is used for AS08, CB08 and CY08"," ")</f>
        <v xml:space="preserve"> </v>
      </c>
      <c r="C43" s="16"/>
      <c r="O43" s="2"/>
      <c r="P43" s="13"/>
      <c r="Q43" s="13"/>
      <c r="R43" s="14"/>
      <c r="S43" s="14"/>
    </row>
    <row r="44" spans="1:19" ht="15.75" customHeight="1">
      <c r="A44" s="62"/>
      <c r="B44" s="98" t="str">
        <f>IF(AND(A43&gt;1300,C6&gt;0),"Maximum Vs30 of 1300 m/sec is used for BA08"," ")</f>
        <v xml:space="preserve"> </v>
      </c>
      <c r="C44" s="16"/>
      <c r="O44" s="2"/>
      <c r="P44" s="13"/>
      <c r="Q44" s="13"/>
      <c r="R44" s="14"/>
      <c r="S44" s="14"/>
    </row>
    <row r="45" spans="1:19" ht="15.75" customHeight="1">
      <c r="A45" s="90" t="s">
        <v>269</v>
      </c>
      <c r="B45" s="37"/>
      <c r="C45" s="16"/>
      <c r="O45" s="2"/>
      <c r="P45" s="13"/>
      <c r="Q45" s="13"/>
      <c r="R45" s="14"/>
      <c r="S45" s="14"/>
    </row>
    <row r="46" spans="1:19" ht="15.75" customHeight="1">
      <c r="A46" s="62">
        <v>1</v>
      </c>
      <c r="B46" s="37"/>
      <c r="C46" s="16"/>
      <c r="O46" s="2"/>
    </row>
    <row r="47" spans="1:19" ht="15.75" customHeight="1">
      <c r="A47" s="61"/>
      <c r="B47" s="37"/>
    </row>
    <row r="48" spans="1:19" ht="15.75" customHeight="1">
      <c r="A48" s="90" t="s">
        <v>270</v>
      </c>
      <c r="B48" s="37"/>
    </row>
    <row r="49" spans="1:4" ht="15.75" customHeight="1">
      <c r="A49" s="62" t="s">
        <v>281</v>
      </c>
      <c r="B49" s="37"/>
      <c r="C49" s="40" t="s">
        <v>34</v>
      </c>
      <c r="D49" s="37"/>
    </row>
    <row r="50" spans="1:4" ht="15.75" customHeight="1">
      <c r="A50" s="62"/>
      <c r="B50" s="37"/>
    </row>
    <row r="51" spans="1:4" ht="15.75" customHeight="1">
      <c r="A51" s="90" t="s">
        <v>271</v>
      </c>
      <c r="B51" s="37"/>
      <c r="C51" s="89" t="s">
        <v>274</v>
      </c>
      <c r="D51" s="94" t="s">
        <v>273</v>
      </c>
    </row>
    <row r="52" spans="1:4" ht="15.75" customHeight="1">
      <c r="A52" s="62" t="s">
        <v>281</v>
      </c>
      <c r="B52" s="37"/>
      <c r="C52" s="41" t="s">
        <v>50</v>
      </c>
      <c r="D52" s="37" t="s">
        <v>39</v>
      </c>
    </row>
    <row r="53" spans="1:4" ht="15.75" customHeight="1">
      <c r="A53" s="62"/>
      <c r="B53" s="37"/>
      <c r="C53" s="41" t="s">
        <v>35</v>
      </c>
      <c r="D53" s="37" t="s">
        <v>36</v>
      </c>
    </row>
    <row r="54" spans="1:4" ht="15.75" customHeight="1">
      <c r="A54" s="90" t="s">
        <v>46</v>
      </c>
      <c r="B54" s="37"/>
      <c r="C54" s="41" t="s">
        <v>61</v>
      </c>
      <c r="D54" s="37" t="s">
        <v>65</v>
      </c>
    </row>
    <row r="55" spans="1:4" ht="15.75" customHeight="1">
      <c r="A55" s="58">
        <v>15</v>
      </c>
      <c r="B55" s="37"/>
      <c r="C55" s="41" t="s">
        <v>224</v>
      </c>
      <c r="D55" s="37" t="s">
        <v>225</v>
      </c>
    </row>
    <row r="56" spans="1:4" ht="15.75" customHeight="1">
      <c r="A56" s="62"/>
      <c r="B56" s="37"/>
      <c r="C56" s="42" t="s">
        <v>45</v>
      </c>
      <c r="D56" s="37" t="s">
        <v>37</v>
      </c>
    </row>
    <row r="57" spans="1:4" ht="15.75" customHeight="1">
      <c r="A57" s="90" t="s">
        <v>272</v>
      </c>
      <c r="B57" s="37"/>
      <c r="C57" s="43" t="s">
        <v>91</v>
      </c>
      <c r="D57" s="73" t="s">
        <v>257</v>
      </c>
    </row>
    <row r="58" spans="1:4" ht="15.75" customHeight="1">
      <c r="A58" s="99">
        <v>0</v>
      </c>
      <c r="B58" s="37"/>
      <c r="C58" s="43" t="s">
        <v>92</v>
      </c>
      <c r="D58" s="73" t="s">
        <v>258</v>
      </c>
    </row>
    <row r="59" spans="1:4" ht="15.75" customHeight="1">
      <c r="A59" s="99"/>
      <c r="B59" s="37"/>
      <c r="C59" s="43" t="s">
        <v>93</v>
      </c>
      <c r="D59" s="73" t="s">
        <v>259</v>
      </c>
    </row>
    <row r="60" spans="1:4" ht="15.75" customHeight="1">
      <c r="A60" s="100" t="s">
        <v>287</v>
      </c>
      <c r="B60" s="37"/>
      <c r="C60" s="41" t="s">
        <v>131</v>
      </c>
      <c r="D60" s="37" t="s">
        <v>227</v>
      </c>
    </row>
    <row r="61" spans="1:4" ht="15.75" customHeight="1" thickBot="1">
      <c r="A61" s="101">
        <v>1</v>
      </c>
      <c r="B61" s="37"/>
      <c r="C61" s="43" t="s">
        <v>94</v>
      </c>
      <c r="D61" s="37" t="s">
        <v>42</v>
      </c>
    </row>
    <row r="62" spans="1:4" ht="15.75" customHeight="1">
      <c r="A62" s="17"/>
      <c r="B62" s="37"/>
      <c r="C62" s="43" t="s">
        <v>95</v>
      </c>
      <c r="D62" s="37" t="s">
        <v>53</v>
      </c>
    </row>
    <row r="63" spans="1:4" ht="15.75" customHeight="1">
      <c r="A63" s="12"/>
      <c r="B63" s="37"/>
      <c r="C63" s="43" t="s">
        <v>96</v>
      </c>
      <c r="D63" s="37" t="s">
        <v>228</v>
      </c>
    </row>
    <row r="64" spans="1:4" ht="15.75" customHeight="1">
      <c r="A64" s="17"/>
      <c r="B64" s="37"/>
      <c r="C64" s="43" t="s">
        <v>97</v>
      </c>
      <c r="D64" s="37" t="s">
        <v>229</v>
      </c>
    </row>
    <row r="65" spans="1:23" ht="15.75" customHeight="1">
      <c r="A65" s="12"/>
      <c r="B65" s="37"/>
      <c r="C65" s="44" t="s">
        <v>56</v>
      </c>
      <c r="D65" s="37" t="s">
        <v>230</v>
      </c>
    </row>
    <row r="66" spans="1:23" ht="15.75" customHeight="1">
      <c r="A66" s="12"/>
      <c r="B66" s="37"/>
      <c r="C66" s="43" t="s">
        <v>98</v>
      </c>
      <c r="D66" s="37" t="s">
        <v>44</v>
      </c>
    </row>
    <row r="67" spans="1:23" ht="15.75" customHeight="1">
      <c r="A67" s="17"/>
      <c r="B67" s="37"/>
      <c r="C67" s="43" t="s">
        <v>100</v>
      </c>
      <c r="D67" s="37" t="s">
        <v>231</v>
      </c>
    </row>
    <row r="68" spans="1:23" ht="15.75" customHeight="1">
      <c r="A68" s="41"/>
      <c r="B68" s="37"/>
      <c r="C68" s="43" t="s">
        <v>99</v>
      </c>
      <c r="D68" s="73" t="s">
        <v>278</v>
      </c>
      <c r="W68" s="16" t="s">
        <v>260</v>
      </c>
    </row>
    <row r="69" spans="1:23" ht="15.75" customHeight="1">
      <c r="B69" s="37"/>
      <c r="D69" s="16" t="s">
        <v>279</v>
      </c>
      <c r="W69" s="87" t="s">
        <v>256</v>
      </c>
    </row>
    <row r="70" spans="1:23" ht="15.75" customHeight="1">
      <c r="B70" s="37"/>
      <c r="C70" s="41" t="s">
        <v>178</v>
      </c>
      <c r="D70" s="73" t="s">
        <v>280</v>
      </c>
    </row>
    <row r="71" spans="1:23" ht="15.75" customHeight="1">
      <c r="A71" s="43"/>
      <c r="B71" s="37"/>
      <c r="D71" s="16" t="s">
        <v>279</v>
      </c>
    </row>
    <row r="72" spans="1:23" ht="15.75" customHeight="1">
      <c r="A72" s="43"/>
      <c r="B72" s="37"/>
      <c r="C72" s="43" t="s">
        <v>62</v>
      </c>
      <c r="D72" s="37" t="s">
        <v>232</v>
      </c>
      <c r="E72" s="16"/>
    </row>
    <row r="73" spans="1:23" ht="15.75" customHeight="1">
      <c r="A73" s="43"/>
      <c r="B73" s="37"/>
      <c r="C73" s="43" t="s">
        <v>226</v>
      </c>
      <c r="D73" s="37" t="s">
        <v>233</v>
      </c>
      <c r="E73" s="16"/>
    </row>
    <row r="74" spans="1:23" ht="15.75" customHeight="1">
      <c r="A74" s="43"/>
      <c r="B74" s="37"/>
      <c r="C74" s="102" t="s">
        <v>287</v>
      </c>
      <c r="D74" s="73" t="s">
        <v>288</v>
      </c>
    </row>
    <row r="75" spans="1:23" ht="15.75" customHeight="1">
      <c r="A75" s="43"/>
      <c r="B75" s="37"/>
      <c r="C75" s="103"/>
      <c r="D75" s="73" t="s">
        <v>289</v>
      </c>
    </row>
    <row r="76" spans="1:23" ht="15.75" customHeight="1">
      <c r="A76" s="44"/>
      <c r="B76" s="37"/>
    </row>
    <row r="77" spans="1:23" ht="15.75" customHeight="1">
      <c r="A77" s="43"/>
      <c r="B77" s="37"/>
    </row>
    <row r="78" spans="1:23" ht="15.75" customHeight="1">
      <c r="A78" s="43"/>
      <c r="B78" s="37"/>
    </row>
    <row r="79" spans="1:23" ht="15.75" customHeight="1">
      <c r="A79" s="43"/>
      <c r="B79" s="37"/>
    </row>
    <row r="80" spans="1:23" ht="15.75" customHeight="1">
      <c r="A80" s="43"/>
      <c r="B80" s="37"/>
    </row>
    <row r="81" spans="1:2" ht="15.75" customHeight="1">
      <c r="A81" s="43"/>
      <c r="B81" s="37"/>
    </row>
    <row r="82" spans="1:2" ht="15.75" customHeight="1">
      <c r="A82" s="43"/>
      <c r="B82" s="37"/>
    </row>
    <row r="83" spans="1:2" ht="15.75" customHeight="1">
      <c r="A83" s="45"/>
      <c r="B83" s="37"/>
    </row>
  </sheetData>
  <mergeCells count="7">
    <mergeCell ref="C10:H10"/>
    <mergeCell ref="A1:F1"/>
    <mergeCell ref="H5:K5"/>
    <mergeCell ref="H6:K6"/>
    <mergeCell ref="H7:K7"/>
    <mergeCell ref="H8:K8"/>
    <mergeCell ref="H9:K9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E17:G17 E25:G25 E32:G32 E37:G37" formulaRange="1"/>
    <ignoredError sqref="H17 H25 H32" formula="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27"/>
  <sheetViews>
    <sheetView workbookViewId="0">
      <selection activeCell="O20" sqref="O20"/>
    </sheetView>
  </sheetViews>
  <sheetFormatPr defaultRowHeight="12.75"/>
  <cols>
    <col min="1" max="1" width="9.140625" style="4"/>
    <col min="2" max="5" width="9.140625" style="2"/>
    <col min="6" max="7" width="9.5703125" style="2" customWidth="1"/>
    <col min="8" max="8" width="9.28515625" style="3" customWidth="1"/>
    <col min="9" max="9" width="9.5703125" style="2" customWidth="1"/>
    <col min="10" max="14" width="9.140625" style="2"/>
    <col min="15" max="15" width="9.140625" style="4"/>
    <col min="16" max="17" width="9.140625" style="2"/>
    <col min="18" max="22" width="9.140625" style="4"/>
    <col min="24" max="24" width="9.140625" style="2"/>
  </cols>
  <sheetData>
    <row r="1" spans="1:36" ht="15.75" customHeight="1">
      <c r="A1" s="1" t="s">
        <v>237</v>
      </c>
    </row>
    <row r="2" spans="1:36" ht="15.75" customHeight="1">
      <c r="A2" s="1"/>
    </row>
    <row r="3" spans="1:36" ht="15.75" customHeight="1">
      <c r="A3" s="5" t="s">
        <v>1</v>
      </c>
      <c r="B3" s="6" t="s">
        <v>247</v>
      </c>
      <c r="C3" s="6" t="s">
        <v>247</v>
      </c>
      <c r="D3" s="7" t="s">
        <v>247</v>
      </c>
      <c r="E3" s="7" t="s">
        <v>247</v>
      </c>
      <c r="F3" s="5" t="s">
        <v>248</v>
      </c>
      <c r="G3" s="8" t="s">
        <v>248</v>
      </c>
      <c r="H3" s="7" t="s">
        <v>248</v>
      </c>
      <c r="I3" s="9" t="s">
        <v>248</v>
      </c>
      <c r="J3" s="9"/>
      <c r="K3" s="9"/>
      <c r="L3" s="6"/>
      <c r="M3" s="6"/>
      <c r="N3" s="9"/>
      <c r="O3" s="9"/>
      <c r="P3" s="9"/>
      <c r="Q3" s="9"/>
      <c r="R3" s="9"/>
      <c r="S3" s="9"/>
      <c r="T3" s="9"/>
      <c r="U3" s="10"/>
      <c r="V3" s="1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15.75" customHeight="1">
      <c r="A4" s="5"/>
      <c r="B4" s="6" t="s">
        <v>238</v>
      </c>
      <c r="C4" s="6" t="s">
        <v>239</v>
      </c>
      <c r="D4" s="7" t="s">
        <v>240</v>
      </c>
      <c r="E4" s="7" t="s">
        <v>241</v>
      </c>
      <c r="F4" s="6" t="s">
        <v>238</v>
      </c>
      <c r="G4" s="6" t="s">
        <v>239</v>
      </c>
      <c r="H4" s="7" t="s">
        <v>240</v>
      </c>
      <c r="I4" s="7" t="s">
        <v>241</v>
      </c>
      <c r="J4" s="70" t="s">
        <v>242</v>
      </c>
      <c r="K4" s="7" t="s">
        <v>243</v>
      </c>
      <c r="L4" s="6" t="s">
        <v>245</v>
      </c>
      <c r="M4" s="6"/>
      <c r="N4" s="9"/>
      <c r="O4" s="9"/>
      <c r="P4" s="9"/>
      <c r="Q4" s="9"/>
      <c r="R4" s="9"/>
      <c r="S4" s="9"/>
      <c r="T4" s="9"/>
      <c r="U4" s="10"/>
      <c r="V4" s="10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15.75" customHeight="1">
      <c r="A5" s="85">
        <v>0.01</v>
      </c>
      <c r="B5" s="14">
        <v>3.7065999999999999</v>
      </c>
      <c r="C5" s="14">
        <v>-0.12520000000000001</v>
      </c>
      <c r="D5" s="14">
        <v>2.9832000000000001</v>
      </c>
      <c r="E5" s="14">
        <v>-0.2339</v>
      </c>
      <c r="F5" s="14">
        <v>5.6315000000000008</v>
      </c>
      <c r="G5" s="14">
        <v>-0.41039999999999999</v>
      </c>
      <c r="H5" s="14">
        <v>2.9832000000000001</v>
      </c>
      <c r="I5" s="14">
        <v>-0.2339</v>
      </c>
      <c r="J5" s="69">
        <v>4.6999999999999999E-4</v>
      </c>
      <c r="K5" s="86">
        <v>0.12</v>
      </c>
      <c r="L5" s="14">
        <v>-0.1492</v>
      </c>
      <c r="M5" s="14"/>
      <c r="O5" s="2"/>
      <c r="P5" s="4"/>
      <c r="Q5" s="4"/>
      <c r="R5" s="2"/>
      <c r="S5" s="2"/>
      <c r="T5" s="2"/>
      <c r="U5" s="2"/>
      <c r="W5" s="4"/>
      <c r="X5" s="4"/>
      <c r="Y5" s="4"/>
    </row>
    <row r="6" spans="1:36" ht="15.75" customHeight="1">
      <c r="A6" s="85">
        <v>0.02</v>
      </c>
      <c r="B6" s="14">
        <v>3.7065999999999999</v>
      </c>
      <c r="C6" s="14">
        <v>-0.12520000000000001</v>
      </c>
      <c r="D6" s="14">
        <v>2.9832000000000001</v>
      </c>
      <c r="E6" s="14">
        <v>-0.2339</v>
      </c>
      <c r="F6" s="14">
        <v>5.6315000000000008</v>
      </c>
      <c r="G6" s="14">
        <v>-0.41039999999999999</v>
      </c>
      <c r="H6" s="14">
        <v>2.9832000000000001</v>
      </c>
      <c r="I6" s="14">
        <v>-0.2339</v>
      </c>
      <c r="J6" s="69">
        <v>4.6999999999999999E-4</v>
      </c>
      <c r="K6" s="86">
        <v>0.12</v>
      </c>
      <c r="L6" s="14">
        <v>-0.1492</v>
      </c>
      <c r="M6" s="14"/>
      <c r="N6" s="14"/>
      <c r="O6" s="14"/>
      <c r="P6" s="14"/>
      <c r="Q6" s="14"/>
      <c r="R6" s="14"/>
      <c r="S6" s="14"/>
      <c r="T6" s="14"/>
      <c r="U6" s="47"/>
      <c r="V6" s="47"/>
      <c r="W6" s="14"/>
      <c r="X6" s="14"/>
      <c r="Y6" s="51"/>
      <c r="Z6" s="51"/>
      <c r="AA6" s="14"/>
      <c r="AB6" s="51"/>
      <c r="AC6" s="13"/>
      <c r="AD6" s="14"/>
      <c r="AE6" s="14"/>
      <c r="AF6" s="14"/>
      <c r="AG6" s="14"/>
      <c r="AH6" s="14"/>
      <c r="AI6" s="14"/>
      <c r="AJ6" s="14"/>
    </row>
    <row r="7" spans="1:36" ht="15.75" customHeight="1">
      <c r="A7" s="85">
        <v>0.03</v>
      </c>
      <c r="B7" s="14">
        <v>3.7565999999999997</v>
      </c>
      <c r="C7" s="14">
        <v>-0.12520000000000001</v>
      </c>
      <c r="D7" s="14">
        <v>2.9832000000000001</v>
      </c>
      <c r="E7" s="14">
        <v>-0.2339</v>
      </c>
      <c r="F7" s="14">
        <v>5.6815000000000007</v>
      </c>
      <c r="G7" s="14">
        <v>-0.41039999999999999</v>
      </c>
      <c r="H7" s="14">
        <v>2.9832000000000001</v>
      </c>
      <c r="I7" s="14">
        <v>-0.2339</v>
      </c>
      <c r="J7" s="69">
        <v>4.6999999999999999E-4</v>
      </c>
      <c r="K7" s="86">
        <v>0.12</v>
      </c>
      <c r="L7" s="14">
        <v>-0.1492</v>
      </c>
      <c r="M7" s="14"/>
      <c r="N7" s="14"/>
      <c r="O7" s="14"/>
      <c r="P7" s="14"/>
      <c r="Q7" s="14"/>
      <c r="R7" s="14"/>
      <c r="S7" s="14"/>
      <c r="T7" s="14"/>
      <c r="U7" s="47"/>
      <c r="V7" s="47"/>
      <c r="W7" s="14"/>
      <c r="X7" s="14"/>
      <c r="Y7" s="51"/>
      <c r="Z7" s="51"/>
      <c r="AA7" s="14"/>
      <c r="AB7" s="51"/>
      <c r="AC7" s="13"/>
      <c r="AD7" s="14"/>
      <c r="AE7" s="14"/>
      <c r="AF7" s="14"/>
      <c r="AG7" s="14"/>
      <c r="AH7" s="14"/>
      <c r="AI7" s="14"/>
      <c r="AJ7" s="14"/>
    </row>
    <row r="8" spans="1:36" ht="15.75" customHeight="1">
      <c r="A8" s="85">
        <v>0.04</v>
      </c>
      <c r="B8" s="14">
        <v>3.8065999999999995</v>
      </c>
      <c r="C8" s="14">
        <v>-0.12520000000000001</v>
      </c>
      <c r="D8" s="14">
        <v>2.9832000000000001</v>
      </c>
      <c r="E8" s="14">
        <v>-0.2339</v>
      </c>
      <c r="F8" s="14">
        <v>5.7315000000000005</v>
      </c>
      <c r="G8" s="14">
        <v>-0.41039999999999999</v>
      </c>
      <c r="H8" s="14">
        <v>2.9832000000000001</v>
      </c>
      <c r="I8" s="14">
        <v>-0.2339</v>
      </c>
      <c r="J8" s="69">
        <v>4.6999999999999999E-4</v>
      </c>
      <c r="K8" s="86">
        <v>0.12</v>
      </c>
      <c r="L8" s="14">
        <v>-0.1492</v>
      </c>
      <c r="M8" s="14"/>
      <c r="N8" s="14"/>
      <c r="O8" s="14"/>
      <c r="P8" s="14"/>
      <c r="Q8" s="14"/>
      <c r="R8" s="14"/>
      <c r="S8" s="14"/>
      <c r="T8" s="14"/>
      <c r="U8" s="47"/>
      <c r="V8" s="47"/>
      <c r="W8" s="14"/>
      <c r="X8" s="14"/>
      <c r="Y8" s="51"/>
      <c r="Z8" s="51"/>
      <c r="AA8" s="14"/>
      <c r="AB8" s="51"/>
      <c r="AC8" s="13"/>
      <c r="AD8" s="14"/>
      <c r="AE8" s="14"/>
      <c r="AF8" s="14"/>
      <c r="AG8" s="14"/>
      <c r="AH8" s="14"/>
      <c r="AI8" s="14"/>
      <c r="AJ8" s="14"/>
    </row>
    <row r="9" spans="1:36" ht="15.75" customHeight="1">
      <c r="A9" s="85">
        <v>0.05</v>
      </c>
      <c r="B9" s="14">
        <v>4.1248000000000005</v>
      </c>
      <c r="C9" s="14">
        <v>-0.17810000000000001</v>
      </c>
      <c r="D9" s="14">
        <v>3.0155999999999996</v>
      </c>
      <c r="E9" s="14">
        <v>-0.2445</v>
      </c>
      <c r="F9" s="14">
        <v>5.8447000000000005</v>
      </c>
      <c r="G9" s="14">
        <v>-0.43290000000000001</v>
      </c>
      <c r="H9" s="14">
        <v>2.9487000000000001</v>
      </c>
      <c r="I9" s="14">
        <v>-0.2346</v>
      </c>
      <c r="J9" s="69">
        <v>0</v>
      </c>
      <c r="K9" s="86">
        <v>0.12</v>
      </c>
      <c r="L9" s="14">
        <v>-0.1492</v>
      </c>
      <c r="M9" s="14"/>
      <c r="N9" s="14"/>
      <c r="O9" s="14"/>
      <c r="P9" s="14"/>
      <c r="Q9" s="14"/>
      <c r="R9" s="14"/>
      <c r="S9" s="14"/>
      <c r="T9" s="14"/>
      <c r="U9" s="47"/>
      <c r="V9" s="47"/>
      <c r="W9" s="14"/>
      <c r="X9" s="14"/>
      <c r="Y9" s="51"/>
      <c r="Z9" s="51"/>
      <c r="AA9" s="14"/>
      <c r="AB9" s="51"/>
      <c r="AC9" s="13"/>
      <c r="AD9" s="14"/>
      <c r="AE9" s="14"/>
      <c r="AF9" s="14"/>
      <c r="AG9" s="14"/>
      <c r="AH9" s="14"/>
      <c r="AI9" s="14"/>
      <c r="AJ9" s="14"/>
    </row>
    <row r="10" spans="1:36" ht="15.75" customHeight="1">
      <c r="A10" s="85">
        <v>7.4999999999999997E-2</v>
      </c>
      <c r="B10" s="14"/>
      <c r="C10" s="14"/>
      <c r="D10" s="14"/>
      <c r="E10" s="14"/>
      <c r="F10" s="14"/>
      <c r="G10" s="14"/>
      <c r="H10" s="14"/>
      <c r="I10" s="14"/>
      <c r="J10" s="69"/>
      <c r="K10" s="86"/>
      <c r="L10" s="14"/>
      <c r="M10" s="14"/>
      <c r="N10" s="14"/>
      <c r="O10" s="14"/>
      <c r="P10" s="14"/>
      <c r="Q10" s="14"/>
      <c r="R10" s="14"/>
      <c r="S10" s="14"/>
      <c r="T10" s="14"/>
      <c r="U10" s="47"/>
      <c r="V10" s="47"/>
      <c r="W10" s="14"/>
      <c r="X10" s="14"/>
      <c r="Y10" s="51"/>
      <c r="Z10" s="51"/>
      <c r="AA10" s="14"/>
      <c r="AB10" s="51"/>
      <c r="AC10" s="13"/>
      <c r="AD10" s="14"/>
      <c r="AE10" s="14"/>
      <c r="AF10" s="14"/>
      <c r="AG10" s="14"/>
      <c r="AH10" s="14"/>
      <c r="AI10" s="14"/>
      <c r="AJ10" s="14"/>
    </row>
    <row r="11" spans="1:36" ht="15.75" customHeight="1">
      <c r="A11" s="85">
        <v>0.1</v>
      </c>
      <c r="B11" s="14">
        <v>4.4592000000000001</v>
      </c>
      <c r="C11" s="14">
        <v>-0.16239999999999999</v>
      </c>
      <c r="D11" s="14">
        <v>3.1212</v>
      </c>
      <c r="E11" s="14">
        <v>-0.25700000000000001</v>
      </c>
      <c r="F11" s="14">
        <v>6.3052999999999999</v>
      </c>
      <c r="G11" s="14">
        <v>-0.43590000000000001</v>
      </c>
      <c r="H11" s="14">
        <v>2.9152999999999998</v>
      </c>
      <c r="I11" s="14">
        <v>-0.22650000000000001</v>
      </c>
      <c r="J11" s="69">
        <v>0</v>
      </c>
      <c r="K11" s="86">
        <v>0.12</v>
      </c>
      <c r="L11" s="14">
        <v>-0.21260000000000001</v>
      </c>
      <c r="M11" s="14"/>
      <c r="N11" s="14"/>
      <c r="O11" s="14"/>
      <c r="P11" s="14"/>
      <c r="Q11" s="14"/>
      <c r="R11" s="14"/>
      <c r="S11" s="14"/>
      <c r="T11" s="14"/>
      <c r="U11" s="47"/>
      <c r="V11" s="47"/>
      <c r="W11" s="14"/>
      <c r="X11" s="14"/>
      <c r="Y11" s="51"/>
      <c r="Z11" s="51"/>
      <c r="AA11" s="14"/>
      <c r="AB11" s="51"/>
      <c r="AC11" s="13"/>
      <c r="AD11" s="14"/>
      <c r="AE11" s="14"/>
      <c r="AF11" s="14"/>
      <c r="AG11" s="14"/>
      <c r="AH11" s="14"/>
      <c r="AI11" s="14"/>
      <c r="AJ11" s="14"/>
    </row>
    <row r="12" spans="1:36" ht="15.75" customHeight="1">
      <c r="A12" s="85">
        <v>0.15</v>
      </c>
      <c r="B12" s="14">
        <v>3.4792999999999998</v>
      </c>
      <c r="C12" s="14">
        <v>-1.8800000000000001E-2</v>
      </c>
      <c r="D12" s="14">
        <v>2.8609</v>
      </c>
      <c r="E12" s="14">
        <v>-0.22670000000000001</v>
      </c>
      <c r="F12" s="14">
        <v>5.0844999999999994</v>
      </c>
      <c r="G12" s="14">
        <v>-0.25659999999999999</v>
      </c>
      <c r="H12" s="14">
        <v>2.4828999999999999</v>
      </c>
      <c r="I12" s="14">
        <v>-0.17069999999999999</v>
      </c>
      <c r="J12" s="69">
        <v>0</v>
      </c>
      <c r="K12" s="86">
        <v>0.12</v>
      </c>
      <c r="L12" s="14">
        <v>-0.2475</v>
      </c>
      <c r="M12" s="14"/>
      <c r="N12" s="14"/>
      <c r="O12" s="14"/>
      <c r="P12" s="14"/>
      <c r="Q12" s="14"/>
      <c r="R12" s="14"/>
      <c r="S12" s="14"/>
      <c r="T12" s="14"/>
      <c r="U12" s="47"/>
      <c r="V12" s="47"/>
      <c r="W12" s="14"/>
      <c r="X12" s="14"/>
      <c r="Y12" s="51"/>
      <c r="Z12" s="51"/>
      <c r="AA12" s="14"/>
      <c r="AB12" s="51"/>
      <c r="AC12" s="13"/>
      <c r="AD12" s="14"/>
      <c r="AE12" s="14"/>
      <c r="AF12" s="14"/>
      <c r="AG12" s="14"/>
      <c r="AH12" s="14"/>
      <c r="AI12" s="14"/>
      <c r="AJ12" s="14"/>
    </row>
    <row r="13" spans="1:36" ht="15.75" customHeight="1">
      <c r="A13" s="85">
        <v>0.2</v>
      </c>
      <c r="B13" s="14">
        <v>3.2354000000000003</v>
      </c>
      <c r="C13" s="14">
        <v>3.4599999999999999E-2</v>
      </c>
      <c r="D13" s="14">
        <v>2.8738999999999999</v>
      </c>
      <c r="E13" s="14">
        <v>-0.22819999999999999</v>
      </c>
      <c r="F13" s="14">
        <v>5.0842000000000001</v>
      </c>
      <c r="G13" s="14">
        <v>-0.23930000000000001</v>
      </c>
      <c r="H13" s="14">
        <v>2.5066000000000002</v>
      </c>
      <c r="I13" s="14">
        <v>-0.17380000000000001</v>
      </c>
      <c r="J13" s="69">
        <v>0</v>
      </c>
      <c r="K13" s="86">
        <v>0.12</v>
      </c>
      <c r="L13" s="14">
        <v>-0.26929999999999998</v>
      </c>
      <c r="M13" s="14"/>
      <c r="N13" s="14"/>
      <c r="O13" s="14"/>
      <c r="P13" s="14"/>
      <c r="Q13" s="14"/>
      <c r="R13" s="14"/>
      <c r="S13" s="14"/>
      <c r="T13" s="14"/>
      <c r="U13" s="47"/>
      <c r="V13" s="47"/>
      <c r="W13" s="14"/>
      <c r="X13" s="14"/>
      <c r="Y13" s="51"/>
      <c r="Z13" s="51"/>
      <c r="AA13" s="14"/>
      <c r="AB13" s="51"/>
      <c r="AC13" s="13"/>
      <c r="AD13" s="14"/>
      <c r="AE13" s="14"/>
      <c r="AF13" s="14"/>
      <c r="AG13" s="14"/>
      <c r="AH13" s="14"/>
      <c r="AI13" s="14"/>
      <c r="AJ13" s="14"/>
    </row>
    <row r="14" spans="1:36" ht="15.75" customHeight="1">
      <c r="A14" s="85">
        <v>0.25</v>
      </c>
      <c r="B14" s="14">
        <v>2.7627999999999999</v>
      </c>
      <c r="C14" s="14">
        <v>7.9100000000000004E-2</v>
      </c>
      <c r="D14" s="14">
        <v>2.8203</v>
      </c>
      <c r="E14" s="14">
        <v>-0.22919999999999999</v>
      </c>
      <c r="F14" s="14">
        <v>4.5453000000000001</v>
      </c>
      <c r="G14" s="14">
        <v>-0.185</v>
      </c>
      <c r="H14" s="14">
        <v>2.3687</v>
      </c>
      <c r="I14" s="14">
        <v>-0.1623</v>
      </c>
      <c r="J14" s="69">
        <v>-4.8999999999999998E-4</v>
      </c>
      <c r="K14" s="86">
        <v>0.12</v>
      </c>
      <c r="L14" s="14">
        <v>-0.28420000000000001</v>
      </c>
      <c r="M14" s="14"/>
      <c r="N14" s="14"/>
      <c r="O14" s="14"/>
      <c r="P14" s="14"/>
      <c r="Q14" s="14"/>
      <c r="R14" s="14"/>
      <c r="S14" s="14"/>
      <c r="T14" s="14"/>
      <c r="U14" s="47"/>
      <c r="V14" s="47"/>
      <c r="W14" s="14"/>
      <c r="X14" s="14"/>
      <c r="Y14" s="51"/>
      <c r="Z14" s="51"/>
      <c r="AA14" s="14"/>
      <c r="AB14" s="51"/>
      <c r="AC14" s="13"/>
      <c r="AD14" s="14"/>
      <c r="AE14" s="14"/>
      <c r="AF14" s="14"/>
      <c r="AG14" s="14"/>
      <c r="AH14" s="14"/>
      <c r="AI14" s="14"/>
      <c r="AJ14" s="14"/>
    </row>
    <row r="15" spans="1:36" ht="15.75" customHeight="1">
      <c r="A15" s="85">
        <v>0.3</v>
      </c>
      <c r="B15" s="14">
        <v>2.3813</v>
      </c>
      <c r="C15" s="14">
        <v>0.1187</v>
      </c>
      <c r="D15" s="14">
        <v>2.8126000000000002</v>
      </c>
      <c r="E15" s="14">
        <v>-0.2301</v>
      </c>
      <c r="F15" s="14">
        <v>4.2719000000000005</v>
      </c>
      <c r="G15" s="14">
        <v>-0.16139999999999999</v>
      </c>
      <c r="H15" s="14">
        <v>2.3475000000000001</v>
      </c>
      <c r="I15" s="14">
        <v>-0.16120000000000001</v>
      </c>
      <c r="J15" s="69">
        <v>5.1999999999999995E-4</v>
      </c>
      <c r="K15" s="86">
        <v>0.12</v>
      </c>
      <c r="L15" s="14">
        <v>-0.29480000000000001</v>
      </c>
      <c r="M15" s="14"/>
      <c r="N15" s="14"/>
      <c r="O15" s="14"/>
      <c r="P15" s="14"/>
      <c r="Q15" s="14"/>
      <c r="R15" s="14"/>
      <c r="S15" s="14"/>
      <c r="T15" s="14"/>
      <c r="U15" s="47"/>
      <c r="V15" s="47"/>
      <c r="W15" s="14"/>
      <c r="X15" s="14"/>
      <c r="Y15" s="51"/>
      <c r="Z15" s="51"/>
      <c r="AA15" s="14"/>
      <c r="AB15" s="51"/>
      <c r="AC15" s="13"/>
      <c r="AD15" s="14"/>
      <c r="AE15" s="14"/>
      <c r="AF15" s="14"/>
      <c r="AG15" s="14"/>
      <c r="AH15" s="14"/>
      <c r="AI15" s="14"/>
      <c r="AJ15" s="14"/>
    </row>
    <row r="16" spans="1:36" ht="15.75" customHeight="1">
      <c r="A16" s="85">
        <v>0.4</v>
      </c>
      <c r="B16" s="14">
        <v>1.7036999999999998</v>
      </c>
      <c r="C16" s="14">
        <v>0.18729999999999999</v>
      </c>
      <c r="D16" s="14">
        <v>2.7991999999999999</v>
      </c>
      <c r="E16" s="14">
        <v>-0.23169999999999999</v>
      </c>
      <c r="F16" s="14">
        <v>3.7792000000000003</v>
      </c>
      <c r="G16" s="14">
        <v>-0.1202</v>
      </c>
      <c r="H16" s="14">
        <v>2.3105000000000002</v>
      </c>
      <c r="I16" s="14">
        <v>-0.1593</v>
      </c>
      <c r="J16" s="69">
        <v>1.1199999999999999E-3</v>
      </c>
      <c r="K16" s="86">
        <v>0.12</v>
      </c>
      <c r="L16" s="14">
        <v>-0.30880000000000002</v>
      </c>
      <c r="M16" s="14"/>
      <c r="N16" s="14"/>
      <c r="O16" s="14"/>
      <c r="P16" s="14"/>
      <c r="Q16" s="14"/>
      <c r="R16" s="14"/>
      <c r="S16" s="14"/>
      <c r="T16" s="14"/>
      <c r="U16" s="47"/>
      <c r="V16" s="47"/>
      <c r="W16" s="14"/>
      <c r="X16" s="14"/>
      <c r="Y16" s="51"/>
      <c r="Z16" s="51"/>
      <c r="AA16" s="14"/>
      <c r="AB16" s="51"/>
      <c r="AC16" s="13"/>
      <c r="AD16" s="14"/>
      <c r="AE16" s="14"/>
      <c r="AF16" s="14"/>
      <c r="AG16" s="14"/>
      <c r="AH16" s="14"/>
      <c r="AI16" s="14"/>
      <c r="AJ16" s="14"/>
    </row>
    <row r="17" spans="1:36" ht="15.75" customHeight="1">
      <c r="A17" s="85">
        <v>0.5</v>
      </c>
      <c r="B17" s="14">
        <v>1.0893000000000002</v>
      </c>
      <c r="C17" s="14">
        <v>0.24610000000000001</v>
      </c>
      <c r="D17" s="14">
        <v>2.7875999999999999</v>
      </c>
      <c r="E17" s="14">
        <v>-0.23300000000000001</v>
      </c>
      <c r="F17" s="14">
        <v>3.3235000000000001</v>
      </c>
      <c r="G17" s="14">
        <v>-8.4900000000000003E-2</v>
      </c>
      <c r="H17" s="14">
        <v>2.2793000000000001</v>
      </c>
      <c r="I17" s="14">
        <v>-0.15770000000000001</v>
      </c>
      <c r="J17" s="69">
        <v>1.32E-3</v>
      </c>
      <c r="K17" s="86">
        <v>0.12</v>
      </c>
      <c r="L17" s="14">
        <v>-0.31730000000000003</v>
      </c>
      <c r="M17" s="14"/>
      <c r="N17" s="14"/>
      <c r="O17" s="14"/>
      <c r="P17" s="14"/>
      <c r="Q17" s="14"/>
      <c r="R17" s="14"/>
      <c r="S17" s="14"/>
      <c r="T17" s="14"/>
      <c r="U17" s="47"/>
      <c r="V17" s="47"/>
      <c r="W17" s="14"/>
      <c r="X17" s="14"/>
      <c r="Y17" s="51"/>
      <c r="Z17" s="51"/>
      <c r="AA17" s="14"/>
      <c r="AB17" s="51"/>
      <c r="AC17" s="13"/>
      <c r="AD17" s="14"/>
      <c r="AE17" s="14"/>
      <c r="AF17" s="14"/>
      <c r="AG17" s="14"/>
      <c r="AH17" s="14"/>
      <c r="AI17" s="14"/>
      <c r="AJ17" s="14"/>
    </row>
    <row r="18" spans="1:36" ht="15.75" customHeight="1">
      <c r="A18" s="85">
        <v>0.75</v>
      </c>
      <c r="B18" s="14"/>
      <c r="C18" s="14"/>
      <c r="D18" s="14"/>
      <c r="E18" s="14"/>
      <c r="F18" s="14"/>
      <c r="G18" s="14"/>
      <c r="H18" s="14"/>
      <c r="I18" s="14"/>
      <c r="J18" s="69"/>
      <c r="K18" s="86"/>
      <c r="L18" s="14"/>
      <c r="M18" s="14"/>
      <c r="N18" s="14"/>
      <c r="O18" s="14"/>
      <c r="P18" s="14"/>
      <c r="Q18" s="14"/>
      <c r="R18" s="14"/>
      <c r="S18" s="14"/>
      <c r="T18" s="14"/>
      <c r="U18" s="47"/>
      <c r="V18" s="47"/>
      <c r="W18" s="14"/>
      <c r="X18" s="14"/>
      <c r="Y18" s="51"/>
      <c r="Z18" s="51"/>
      <c r="AA18" s="14"/>
      <c r="AB18" s="51"/>
      <c r="AC18" s="13"/>
      <c r="AD18" s="14"/>
      <c r="AE18" s="14"/>
      <c r="AF18" s="14"/>
      <c r="AG18" s="14"/>
      <c r="AH18" s="14"/>
      <c r="AI18" s="14"/>
      <c r="AJ18" s="14"/>
    </row>
    <row r="19" spans="1:36" ht="15.75" customHeight="1">
      <c r="A19" s="85">
        <v>1</v>
      </c>
      <c r="B19" s="14">
        <v>-1.2289999999999999</v>
      </c>
      <c r="C19" s="14">
        <v>0.46150000000000002</v>
      </c>
      <c r="D19" s="14">
        <v>2.7433999999999998</v>
      </c>
      <c r="E19" s="14">
        <v>-0.23810000000000001</v>
      </c>
      <c r="F19" s="14">
        <v>1.5822000000000003</v>
      </c>
      <c r="G19" s="14">
        <v>4.4999999999999998E-2</v>
      </c>
      <c r="H19" s="14">
        <v>2.1588000000000003</v>
      </c>
      <c r="I19" s="14">
        <v>-0.1515</v>
      </c>
      <c r="J19" s="69">
        <v>1.8799999999999999E-3</v>
      </c>
      <c r="K19" s="86">
        <v>0.1</v>
      </c>
      <c r="L19" s="14">
        <v>-0.33079999999999998</v>
      </c>
      <c r="M19" s="14"/>
      <c r="N19" s="14"/>
      <c r="O19" s="14"/>
      <c r="P19" s="14"/>
      <c r="Q19" s="14"/>
      <c r="R19" s="14"/>
      <c r="S19" s="14"/>
      <c r="T19" s="14"/>
      <c r="U19" s="47"/>
      <c r="V19" s="47"/>
      <c r="W19" s="14"/>
      <c r="X19" s="14"/>
      <c r="Y19" s="51"/>
      <c r="Z19" s="51"/>
      <c r="AA19" s="14"/>
      <c r="AB19" s="51"/>
      <c r="AC19" s="13"/>
      <c r="AD19" s="14"/>
      <c r="AE19" s="14"/>
      <c r="AF19" s="14"/>
      <c r="AG19" s="14"/>
      <c r="AH19" s="14"/>
      <c r="AI19" s="14"/>
      <c r="AJ19" s="14"/>
    </row>
    <row r="20" spans="1:36" ht="15.75" customHeight="1">
      <c r="A20" s="85">
        <v>1.5</v>
      </c>
      <c r="B20" s="14">
        <v>-2.9167999999999998</v>
      </c>
      <c r="C20" s="14">
        <v>0.61029999999999995</v>
      </c>
      <c r="D20" s="14">
        <v>2.7111999999999998</v>
      </c>
      <c r="E20" s="14">
        <v>-0.24179999999999999</v>
      </c>
      <c r="F20" s="14">
        <v>0.28879999999999995</v>
      </c>
      <c r="G20" s="14">
        <v>0.13539999999999999</v>
      </c>
      <c r="H20" s="14">
        <v>2.0720000000000001</v>
      </c>
      <c r="I20" s="14">
        <v>-0.14710000000000001</v>
      </c>
      <c r="J20" s="69">
        <v>2.5000000000000001E-3</v>
      </c>
      <c r="K20" s="86">
        <v>0.06</v>
      </c>
      <c r="L20" s="14">
        <v>-0.32969999999999999</v>
      </c>
      <c r="M20" s="14"/>
      <c r="N20" s="14"/>
      <c r="O20" s="14"/>
      <c r="P20" s="14"/>
      <c r="Q20" s="14"/>
      <c r="R20" s="14"/>
      <c r="S20" s="14"/>
      <c r="T20" s="14"/>
      <c r="U20" s="47"/>
      <c r="V20" s="47"/>
      <c r="W20" s="14"/>
      <c r="X20" s="14"/>
      <c r="Y20" s="51"/>
      <c r="Z20" s="51"/>
      <c r="AA20" s="14"/>
      <c r="AB20" s="51"/>
      <c r="AC20" s="13"/>
      <c r="AD20" s="14"/>
      <c r="AE20" s="14"/>
      <c r="AF20" s="14"/>
      <c r="AG20" s="14"/>
      <c r="AH20" s="14"/>
      <c r="AI20" s="14"/>
      <c r="AJ20" s="14"/>
    </row>
    <row r="21" spans="1:36" ht="15.75" customHeight="1">
      <c r="A21" s="85">
        <v>2</v>
      </c>
      <c r="B21" s="14">
        <v>-4.2783000000000007</v>
      </c>
      <c r="C21" s="14">
        <v>0.72460000000000002</v>
      </c>
      <c r="D21" s="14">
        <v>2.6850999999999998</v>
      </c>
      <c r="E21" s="14">
        <v>-0.2447</v>
      </c>
      <c r="F21" s="14">
        <v>-0.77369999999999994</v>
      </c>
      <c r="G21" s="14">
        <v>0.2054</v>
      </c>
      <c r="H21" s="14">
        <v>2.0026999999999999</v>
      </c>
      <c r="I21" s="14">
        <v>-0.14360000000000001</v>
      </c>
      <c r="J21" s="69">
        <v>2.6800000000000001E-3</v>
      </c>
      <c r="K21" s="86">
        <v>0.04</v>
      </c>
      <c r="L21" s="14">
        <v>-0.32479999999999998</v>
      </c>
      <c r="M21" s="14"/>
      <c r="N21" s="14"/>
      <c r="O21" s="14"/>
      <c r="P21" s="14"/>
      <c r="Q21" s="14"/>
      <c r="R21" s="14"/>
      <c r="S21" s="14"/>
      <c r="T21" s="14"/>
      <c r="U21" s="47"/>
      <c r="V21" s="47"/>
      <c r="W21" s="14"/>
      <c r="X21" s="14"/>
      <c r="Y21" s="51"/>
      <c r="Z21" s="51"/>
      <c r="AA21" s="14"/>
      <c r="AB21" s="51"/>
      <c r="AC21" s="13"/>
      <c r="AD21" s="14"/>
      <c r="AE21" s="14"/>
      <c r="AF21" s="14"/>
      <c r="AG21" s="14"/>
      <c r="AH21" s="14"/>
      <c r="AI21" s="14"/>
      <c r="AJ21" s="14"/>
    </row>
    <row r="22" spans="1:36" ht="15.75" customHeight="1">
      <c r="A22" s="85">
        <v>3</v>
      </c>
      <c r="B22" s="14">
        <v>-6.2431000000000001</v>
      </c>
      <c r="C22" s="14">
        <v>0.89349999999999996</v>
      </c>
      <c r="D22" s="14">
        <v>2.6436999999999999</v>
      </c>
      <c r="E22" s="14">
        <v>-0.24929999999999999</v>
      </c>
      <c r="F22" s="14">
        <v>-2.3037000000000001</v>
      </c>
      <c r="G22" s="14">
        <v>0.30990000000000001</v>
      </c>
      <c r="H22" s="14">
        <v>1.8938000000000001</v>
      </c>
      <c r="I22" s="14">
        <v>-0.13819999999999999</v>
      </c>
      <c r="J22" s="69">
        <v>5.0000000000000001E-4</v>
      </c>
      <c r="K22" s="86">
        <v>0</v>
      </c>
      <c r="L22" s="14">
        <v>-0.311</v>
      </c>
      <c r="M22" s="14"/>
      <c r="N22" s="14"/>
      <c r="O22" s="14"/>
      <c r="P22" s="14"/>
      <c r="Q22" s="14"/>
      <c r="R22" s="14"/>
      <c r="S22" s="14"/>
      <c r="T22" s="14"/>
      <c r="U22" s="47"/>
      <c r="V22" s="47"/>
      <c r="W22" s="14"/>
      <c r="X22" s="14"/>
      <c r="Y22" s="51"/>
      <c r="Z22" s="51"/>
      <c r="AA22" s="14"/>
      <c r="AB22" s="51"/>
      <c r="AC22" s="13"/>
      <c r="AD22" s="14"/>
      <c r="AE22" s="14"/>
      <c r="AF22" s="14"/>
      <c r="AG22" s="14"/>
      <c r="AH22" s="14"/>
      <c r="AI22" s="14"/>
      <c r="AJ22" s="14"/>
    </row>
    <row r="23" spans="1:36" ht="15.75" customHeight="1">
      <c r="A23" s="85">
        <v>4</v>
      </c>
      <c r="B23" s="14">
        <v>-7.6966500000000009</v>
      </c>
      <c r="C23" s="14">
        <v>1.0137</v>
      </c>
      <c r="D23" s="14">
        <v>2.6110000000000002</v>
      </c>
      <c r="E23" s="14">
        <v>-0.25290000000000001</v>
      </c>
      <c r="F23" s="14">
        <v>-3.45635</v>
      </c>
      <c r="G23" s="14">
        <v>0.38550000000000001</v>
      </c>
      <c r="H23" s="14">
        <v>1.8090999999999999</v>
      </c>
      <c r="I23" s="14">
        <v>-0.1341</v>
      </c>
      <c r="J23" s="69">
        <v>-2.48E-3</v>
      </c>
      <c r="K23" s="86">
        <v>0</v>
      </c>
      <c r="L23" s="14">
        <v>-0.29559999999999997</v>
      </c>
      <c r="M23" s="14"/>
      <c r="N23" s="14"/>
      <c r="O23" s="14"/>
      <c r="P23" s="14"/>
      <c r="Q23" s="14"/>
      <c r="R23" s="14"/>
      <c r="S23" s="14"/>
      <c r="T23" s="14"/>
      <c r="U23" s="47"/>
      <c r="V23" s="47"/>
      <c r="W23" s="14"/>
      <c r="X23" s="14"/>
      <c r="Y23" s="51"/>
      <c r="Z23" s="51"/>
      <c r="AA23" s="14"/>
      <c r="AB23" s="51"/>
      <c r="AC23" s="13"/>
      <c r="AD23" s="14"/>
      <c r="AE23" s="14"/>
      <c r="AF23" s="14"/>
      <c r="AG23" s="14"/>
      <c r="AH23" s="14"/>
      <c r="AI23" s="14"/>
      <c r="AJ23" s="14"/>
    </row>
    <row r="24" spans="1:36">
      <c r="A24" s="85">
        <v>5</v>
      </c>
      <c r="B24" s="14">
        <v>-8.8109999999999999</v>
      </c>
      <c r="C24" s="14">
        <v>1.1027</v>
      </c>
      <c r="D24" s="14">
        <v>2.5838999999999999</v>
      </c>
      <c r="E24" s="14">
        <v>-0.25580000000000003</v>
      </c>
      <c r="F24" s="14">
        <v>-4.3563000000000001</v>
      </c>
      <c r="G24" s="14">
        <v>0.44269999999999998</v>
      </c>
      <c r="H24" s="14">
        <v>1.7401</v>
      </c>
      <c r="I24" s="14">
        <v>-0.1308</v>
      </c>
      <c r="J24" s="69">
        <v>-4.5300000000000002E-3</v>
      </c>
      <c r="K24" s="86">
        <v>0</v>
      </c>
      <c r="L24" s="14">
        <v>-0.2797</v>
      </c>
      <c r="M24" s="14"/>
    </row>
    <row r="25" spans="1:36">
      <c r="A25" s="85">
        <v>7.5</v>
      </c>
      <c r="B25" s="14"/>
      <c r="C25" s="14"/>
      <c r="D25" s="14"/>
      <c r="E25" s="14"/>
      <c r="F25" s="14"/>
      <c r="G25" s="14"/>
      <c r="H25" s="14"/>
      <c r="I25" s="14"/>
      <c r="J25" s="69"/>
      <c r="K25" s="86"/>
      <c r="L25" s="14"/>
      <c r="M25" s="14"/>
    </row>
    <row r="26" spans="1:36">
      <c r="A26" s="85">
        <v>10</v>
      </c>
      <c r="B26" s="14">
        <v>-12.014899999999999</v>
      </c>
      <c r="C26" s="14">
        <v>1.2995000000000001</v>
      </c>
      <c r="D26" s="14">
        <v>2.4927999999999999</v>
      </c>
      <c r="E26" s="14">
        <v>-0.26500000000000001</v>
      </c>
      <c r="F26" s="14">
        <v>-7.1679000000000004</v>
      </c>
      <c r="G26" s="14">
        <v>0.58140000000000003</v>
      </c>
      <c r="H26" s="14">
        <v>1.5201</v>
      </c>
      <c r="I26" s="14">
        <v>-0.12089999999999999</v>
      </c>
      <c r="J26" s="69">
        <v>-7.0899999999999999E-3</v>
      </c>
      <c r="K26" s="86">
        <v>0</v>
      </c>
      <c r="L26" s="14">
        <v>-0.2026</v>
      </c>
      <c r="M26" s="14"/>
    </row>
    <row r="27" spans="1:36">
      <c r="A27" s="3">
        <v>-1</v>
      </c>
    </row>
  </sheetData>
  <sheetProtection sheet="1" deleteColumns="0" deleteRows="0" sort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E10" sqref="E10"/>
    </sheetView>
  </sheetViews>
  <sheetFormatPr defaultRowHeight="12.75"/>
  <cols>
    <col min="1" max="1" width="11.42578125" bestFit="1" customWidth="1"/>
    <col min="5" max="5" width="10.85546875" customWidth="1"/>
    <col min="6" max="6" width="10.85546875" bestFit="1" customWidth="1"/>
  </cols>
  <sheetData>
    <row r="1" spans="1:10" ht="15.75" customHeight="1">
      <c r="A1" s="1" t="s">
        <v>244</v>
      </c>
      <c r="B1" s="16"/>
      <c r="C1" s="16"/>
      <c r="D1" s="16"/>
      <c r="E1" s="16"/>
      <c r="F1" s="16"/>
      <c r="G1" s="16"/>
      <c r="H1" s="16"/>
    </row>
    <row r="2" spans="1:10" ht="15.75" customHeight="1">
      <c r="A2" s="16"/>
      <c r="B2" s="16"/>
      <c r="C2" s="16"/>
      <c r="D2" s="16"/>
      <c r="E2" s="16"/>
      <c r="F2" s="16"/>
      <c r="G2" s="17"/>
      <c r="H2" s="17"/>
    </row>
    <row r="3" spans="1:10" ht="15.75" customHeight="1">
      <c r="A3" s="1" t="s">
        <v>47</v>
      </c>
      <c r="B3" s="12"/>
      <c r="C3" s="105" t="s">
        <v>48</v>
      </c>
      <c r="D3" s="105"/>
      <c r="E3" s="105"/>
      <c r="F3" s="105"/>
      <c r="G3" s="105"/>
      <c r="H3" s="105"/>
      <c r="I3" s="105"/>
      <c r="J3" s="18"/>
    </row>
    <row r="4" spans="1:10" ht="15.75" customHeight="1">
      <c r="A4" s="16"/>
      <c r="B4" s="16"/>
      <c r="C4" s="16"/>
      <c r="D4" s="17"/>
      <c r="E4" s="17"/>
      <c r="F4" s="17"/>
    </row>
    <row r="5" spans="1:10" ht="15.75" customHeight="1">
      <c r="A5" s="19" t="s">
        <v>30</v>
      </c>
      <c r="B5" s="12"/>
      <c r="C5" s="12" t="s">
        <v>32</v>
      </c>
      <c r="D5" s="20" t="s">
        <v>69</v>
      </c>
      <c r="E5" s="22" t="s">
        <v>33</v>
      </c>
      <c r="F5" s="72" t="s">
        <v>249</v>
      </c>
      <c r="H5" s="24"/>
      <c r="I5" s="52"/>
      <c r="J5" s="23"/>
    </row>
    <row r="6" spans="1:10" ht="15.75" customHeight="1">
      <c r="A6" s="25">
        <f>Main!$A$13</f>
        <v>8</v>
      </c>
      <c r="B6" s="17"/>
      <c r="C6" s="1" t="s">
        <v>49</v>
      </c>
      <c r="D6" s="26">
        <v>0.01</v>
      </c>
      <c r="E6" s="28">
        <f>IF($A$15&lt;$A$18,"Vs30 Limit",EXP(IF($A$6&lt;=6.75,IF($A$15&lt;=900,'I08 Coeffs'!B5,'I08 Coeffs'!B5+'I08 Coeffs'!L5),IF($A$15&lt;=900,'I08 Coeffs'!F5,'I08 Coeffs'!F5+'I08 Coeffs'!L5))+IF($A$6&lt;=6.75,'I08 Coeffs'!C5,'I08 Coeffs'!G5)*$A$6-(IF($A$6&lt;=6.75,'I08 Coeffs'!D5,'I08 Coeffs'!H5)+IF('I08'!$A$6&lt;=6.75,'I08 Coeffs'!E5,'I08 Coeffs'!I5)*'I08'!$A$6)*LN($A$9+10)+'I08 Coeffs'!J5*'I08'!$A$9+'I08 Coeffs'!K5*'I08'!$A$12))</f>
        <v>0.20321372030398632</v>
      </c>
      <c r="F6" s="28">
        <f t="shared" ref="F6:F24" si="0">IF($A$15&lt;$A$18,"Vs30 Limit",1.28+0.05*LN(IF(D6&lt;0.05,0.05,IF(D6&gt;3,3,D6)))-0.08*$A$6)</f>
        <v>0.49021338632230049</v>
      </c>
      <c r="G6" s="14"/>
      <c r="H6" s="14"/>
      <c r="I6" s="14"/>
      <c r="J6" s="2"/>
    </row>
    <row r="7" spans="1:10" ht="15.75" customHeight="1">
      <c r="A7" s="25"/>
      <c r="B7" s="29"/>
      <c r="C7" s="1"/>
      <c r="D7" s="26">
        <v>0.02</v>
      </c>
      <c r="E7" s="28">
        <f>IF($A$15&lt;$A$18,"Vs30 Limit",EXP(IF($A$6&lt;=6.75,IF($A$15&lt;=900,'I08 Coeffs'!B6,'I08 Coeffs'!B6+'I08 Coeffs'!L6),IF($A$15&lt;=900,'I08 Coeffs'!F6,'I08 Coeffs'!F6+'I08 Coeffs'!L6))+IF($A$6&lt;=6.75,'I08 Coeffs'!C6,'I08 Coeffs'!G6)*$A$6-(IF($A$6&lt;=6.75,'I08 Coeffs'!D6,'I08 Coeffs'!H6)+IF('I08'!$A$6&lt;=6.75,'I08 Coeffs'!E6,'I08 Coeffs'!I6)*'I08'!$A$6)*LN($A$9+10)+'I08 Coeffs'!J6*'I08'!$A$9+'I08 Coeffs'!K6*'I08'!$A$12))</f>
        <v>0.20321372030398632</v>
      </c>
      <c r="F7" s="28">
        <f t="shared" si="0"/>
        <v>0.49021338632230049</v>
      </c>
      <c r="G7" s="14"/>
      <c r="H7" s="14"/>
      <c r="I7" s="14"/>
      <c r="J7" s="2"/>
    </row>
    <row r="8" spans="1:10" ht="15.75" customHeight="1">
      <c r="A8" s="5" t="s">
        <v>77</v>
      </c>
      <c r="B8" s="12"/>
      <c r="C8" s="1"/>
      <c r="D8" s="26">
        <v>0.03</v>
      </c>
      <c r="E8" s="28">
        <f>IF($A$15&lt;$A$18,"Vs30 Limit",EXP(IF($A$6&lt;=6.75,IF($A$15&lt;=900,'I08 Coeffs'!B7,'I08 Coeffs'!B7+'I08 Coeffs'!L7),IF($A$15&lt;=900,'I08 Coeffs'!F7,'I08 Coeffs'!F7+'I08 Coeffs'!L7))+IF($A$6&lt;=6.75,'I08 Coeffs'!C7,'I08 Coeffs'!G7)*$A$6-(IF($A$6&lt;=6.75,'I08 Coeffs'!D7,'I08 Coeffs'!H7)+IF('I08'!$A$6&lt;=6.75,'I08 Coeffs'!E7,'I08 Coeffs'!I7)*'I08'!$A$6)*LN($A$9+10)+'I08 Coeffs'!J7*'I08'!$A$9+'I08 Coeffs'!K7*'I08'!$A$12))</f>
        <v>0.21363271054262237</v>
      </c>
      <c r="F8" s="28">
        <f t="shared" si="0"/>
        <v>0.49021338632230049</v>
      </c>
      <c r="G8" s="14"/>
      <c r="H8" s="14"/>
      <c r="I8" s="14"/>
      <c r="J8" s="2"/>
    </row>
    <row r="9" spans="1:10" ht="15.75" customHeight="1">
      <c r="A9" s="25">
        <f>Main!$A$16</f>
        <v>25</v>
      </c>
      <c r="B9" s="17"/>
      <c r="C9" s="1"/>
      <c r="D9" s="26">
        <v>0.04</v>
      </c>
      <c r="E9" s="28">
        <f>IF($A$15&lt;$A$18,"Vs30 Limit",EXP(IF($A$6&lt;=6.75,IF($A$15&lt;=900,'I08 Coeffs'!B8,'I08 Coeffs'!B8+'I08 Coeffs'!L8),IF($A$15&lt;=900,'I08 Coeffs'!F8,'I08 Coeffs'!F8+'I08 Coeffs'!L8))+IF($A$6&lt;=6.75,'I08 Coeffs'!C8,'I08 Coeffs'!G8)*$A$6-(IF($A$6&lt;=6.75,'I08 Coeffs'!D8,'I08 Coeffs'!H8)+IF('I08'!$A$6&lt;=6.75,'I08 Coeffs'!E8,'I08 Coeffs'!I8)*'I08'!$A$6)*LN($A$9+10)+'I08 Coeffs'!J8*'I08'!$A$9+'I08 Coeffs'!K8*'I08'!$A$12))</f>
        <v>0.22458589383392435</v>
      </c>
      <c r="F9" s="28">
        <f t="shared" si="0"/>
        <v>0.49021338632230049</v>
      </c>
      <c r="G9" s="14"/>
      <c r="H9" s="14"/>
      <c r="I9" s="14"/>
      <c r="J9" s="2"/>
    </row>
    <row r="10" spans="1:10" ht="15.75" customHeight="1">
      <c r="A10" s="25"/>
      <c r="B10" s="29"/>
      <c r="C10" s="1"/>
      <c r="D10" s="26">
        <v>0.05</v>
      </c>
      <c r="E10" s="28">
        <f>IF($A$15&lt;$A$18,"Vs30 Limit",EXP(IF($A$6&lt;=6.75,IF($A$15&lt;=900,'I08 Coeffs'!B9,'I08 Coeffs'!B9+'I08 Coeffs'!L9),IF($A$15&lt;=900,'I08 Coeffs'!F9,'I08 Coeffs'!F9+'I08 Coeffs'!L9))+IF($A$6&lt;=6.75,'I08 Coeffs'!C9,'I08 Coeffs'!G9)*$A$6-(IF($A$6&lt;=6.75,'I08 Coeffs'!D9,'I08 Coeffs'!H9)+IF('I08'!$A$6&lt;=6.75,'I08 Coeffs'!E9,'I08 Coeffs'!I9)*'I08'!$A$6)*LN($A$9+10)+'I08 Coeffs'!J9*'I08'!$A$9+'I08 Coeffs'!K9*'I08'!$A$12))</f>
        <v>0.23943397297051819</v>
      </c>
      <c r="F10" s="28">
        <f t="shared" si="0"/>
        <v>0.49021338632230049</v>
      </c>
      <c r="G10" s="14"/>
      <c r="H10" s="14"/>
      <c r="I10" s="14"/>
      <c r="J10" s="2"/>
    </row>
    <row r="11" spans="1:10" ht="15.75" customHeight="1">
      <c r="A11" s="5" t="s">
        <v>246</v>
      </c>
      <c r="B11" s="12"/>
      <c r="C11" s="1"/>
      <c r="D11" s="30">
        <v>0.1</v>
      </c>
      <c r="E11" s="28">
        <f>IF($A$15&lt;$A$18,"Vs30 Limit",EXP(IF($A$6&lt;=6.75,IF($A$15&lt;=900,'I08 Coeffs'!B11,'I08 Coeffs'!B11+'I08 Coeffs'!L11),IF($A$15&lt;=900,'I08 Coeffs'!F11,'I08 Coeffs'!F11+'I08 Coeffs'!L11))+IF($A$6&lt;=6.75,'I08 Coeffs'!C11,'I08 Coeffs'!G11)*$A$6-(IF($A$6&lt;=6.75,'I08 Coeffs'!D11,'I08 Coeffs'!H11)+IF('I08'!$A$6&lt;=6.75,'I08 Coeffs'!E11,'I08 Coeffs'!I11)*'I08'!$A$6)*LN($A$9+10)+'I08 Coeffs'!J11*'I08'!$A$9+'I08 Coeffs'!K11*'I08'!$A$12))</f>
        <v>0.33137138741307698</v>
      </c>
      <c r="F11" s="28">
        <f t="shared" si="0"/>
        <v>0.52487074535029776</v>
      </c>
      <c r="G11" s="14"/>
      <c r="H11" s="14"/>
      <c r="I11" s="14"/>
      <c r="J11" s="2"/>
    </row>
    <row r="12" spans="1:10" ht="15.75" customHeight="1">
      <c r="A12" s="33">
        <f>IF(Main!A28=1,1,0)</f>
        <v>0</v>
      </c>
      <c r="B12" s="17"/>
      <c r="C12" s="1"/>
      <c r="D12" s="30">
        <v>0.15</v>
      </c>
      <c r="E12" s="28">
        <f>IF($A$15&lt;$A$18,"Vs30 Limit",EXP(IF($A$6&lt;=6.75,IF($A$15&lt;=900,'I08 Coeffs'!B12,'I08 Coeffs'!B12+'I08 Coeffs'!L12),IF($A$15&lt;=900,'I08 Coeffs'!F12,'I08 Coeffs'!F12+'I08 Coeffs'!L12))+IF($A$6&lt;=6.75,'I08 Coeffs'!C12,'I08 Coeffs'!G12)*$A$6-(IF($A$6&lt;=6.75,'I08 Coeffs'!D12,'I08 Coeffs'!H12)+IF('I08'!$A$6&lt;=6.75,'I08 Coeffs'!E12,'I08 Coeffs'!I12)*'I08'!$A$6)*LN($A$9+10)+'I08 Coeffs'!J12*'I08'!$A$9+'I08 Coeffs'!K12*'I08'!$A$12))</f>
        <v>0.39035824323044577</v>
      </c>
      <c r="F12" s="28">
        <f t="shared" si="0"/>
        <v>0.5451440007557059</v>
      </c>
      <c r="G12" s="14"/>
      <c r="H12" s="14"/>
      <c r="I12" s="14"/>
      <c r="J12" s="2"/>
    </row>
    <row r="13" spans="1:10" ht="15.75" customHeight="1">
      <c r="B13" s="17"/>
      <c r="C13" s="1"/>
      <c r="D13" s="30">
        <v>0.2</v>
      </c>
      <c r="E13" s="28">
        <f>IF($A$15&lt;$A$18,"Vs30 Limit",EXP(IF($A$6&lt;=6.75,IF($A$15&lt;=900,'I08 Coeffs'!B13,'I08 Coeffs'!B13+'I08 Coeffs'!L13),IF($A$15&lt;=900,'I08 Coeffs'!F13,'I08 Coeffs'!F13+'I08 Coeffs'!L13))+IF($A$6&lt;=6.75,'I08 Coeffs'!C13,'I08 Coeffs'!G13)*$A$6-(IF($A$6&lt;=6.75,'I08 Coeffs'!D13,'I08 Coeffs'!H13)+IF('I08'!$A$6&lt;=6.75,'I08 Coeffs'!E13,'I08 Coeffs'!I13)*'I08'!$A$6)*LN($A$9+10)+'I08 Coeffs'!J13*'I08'!$A$9+'I08 Coeffs'!K13*'I08'!$A$12))</f>
        <v>0.44992269213380265</v>
      </c>
      <c r="F13" s="28">
        <f t="shared" si="0"/>
        <v>0.55952810437829503</v>
      </c>
      <c r="G13" s="14"/>
      <c r="H13" s="14"/>
      <c r="I13" s="14"/>
      <c r="J13" s="2"/>
    </row>
    <row r="14" spans="1:10" ht="15.75" customHeight="1">
      <c r="A14" s="5" t="s">
        <v>84</v>
      </c>
      <c r="B14" s="17"/>
      <c r="C14" s="1"/>
      <c r="D14" s="30">
        <v>0.25</v>
      </c>
      <c r="E14" s="28">
        <f>IF($A$15&lt;$A$18,"Vs30 Limit",EXP(IF($A$6&lt;=6.75,IF($A$15&lt;=900,'I08 Coeffs'!B14,'I08 Coeffs'!B14+'I08 Coeffs'!L14),IF($A$15&lt;=900,'I08 Coeffs'!F14,'I08 Coeffs'!F14+'I08 Coeffs'!L14))+IF($A$6&lt;=6.75,'I08 Coeffs'!C14,'I08 Coeffs'!G14)*$A$6-(IF($A$6&lt;=6.75,'I08 Coeffs'!D14,'I08 Coeffs'!H14)+IF('I08'!$A$6&lt;=6.75,'I08 Coeffs'!E14,'I08 Coeffs'!I14)*'I08'!$A$6)*LN($A$9+10)+'I08 Coeffs'!J14*'I08'!$A$9+'I08 Coeffs'!K14*'I08'!$A$12))</f>
        <v>0.47131009292231768</v>
      </c>
      <c r="F14" s="28">
        <f t="shared" si="0"/>
        <v>0.57068528194400547</v>
      </c>
      <c r="G14" s="14"/>
      <c r="H14" s="14"/>
      <c r="I14" s="14"/>
      <c r="J14" s="2"/>
    </row>
    <row r="15" spans="1:10" ht="15.75" customHeight="1">
      <c r="A15" s="33">
        <f>Main!A43</f>
        <v>760</v>
      </c>
      <c r="B15" s="17"/>
      <c r="C15" s="1"/>
      <c r="D15" s="30">
        <v>0.3</v>
      </c>
      <c r="E15" s="28">
        <f>IF($A$15&lt;$A$18,"Vs30 Limit",EXP(IF($A$6&lt;=6.75,IF($A$15&lt;=900,'I08 Coeffs'!B15,'I08 Coeffs'!B15+'I08 Coeffs'!L15),IF($A$15&lt;=900,'I08 Coeffs'!F15,'I08 Coeffs'!F15+'I08 Coeffs'!L15))+IF($A$6&lt;=6.75,'I08 Coeffs'!C15,'I08 Coeffs'!G15)*$A$6-(IF($A$6&lt;=6.75,'I08 Coeffs'!D15,'I08 Coeffs'!H15)+IF('I08'!$A$6&lt;=6.75,'I08 Coeffs'!E15,'I08 Coeffs'!I15)*'I08'!$A$6)*LN($A$9+10)+'I08 Coeffs'!J15*'I08'!$A$9+'I08 Coeffs'!K15*'I08'!$A$12))</f>
        <v>0.46417078922724964</v>
      </c>
      <c r="F15" s="28">
        <f t="shared" si="0"/>
        <v>0.57980135978370317</v>
      </c>
      <c r="G15" s="14"/>
      <c r="H15" s="14"/>
      <c r="I15" s="14"/>
      <c r="J15" s="2"/>
    </row>
    <row r="16" spans="1:10" ht="15.75" customHeight="1">
      <c r="A16" s="16"/>
      <c r="B16" s="16"/>
      <c r="C16" s="1"/>
      <c r="D16" s="30">
        <v>0.4</v>
      </c>
      <c r="E16" s="28">
        <f>IF($A$15&lt;$A$18,"Vs30 Limit",EXP(IF($A$6&lt;=6.75,IF($A$15&lt;=900,'I08 Coeffs'!B16,'I08 Coeffs'!B16+'I08 Coeffs'!L16),IF($A$15&lt;=900,'I08 Coeffs'!F16,'I08 Coeffs'!F16+'I08 Coeffs'!L16))+IF($A$6&lt;=6.75,'I08 Coeffs'!C16,'I08 Coeffs'!G16)*$A$6-(IF($A$6&lt;=6.75,'I08 Coeffs'!D16,'I08 Coeffs'!H16)+IF('I08'!$A$6&lt;=6.75,'I08 Coeffs'!E16,'I08 Coeffs'!I16)*'I08'!$A$6)*LN($A$9+10)+'I08 Coeffs'!J16*'I08'!$A$9+'I08 Coeffs'!K16*'I08'!$A$12))</f>
        <v>0.43253322856508603</v>
      </c>
      <c r="F16" s="28">
        <f t="shared" si="0"/>
        <v>0.5941854634062923</v>
      </c>
      <c r="G16" s="14"/>
      <c r="H16" s="14"/>
      <c r="I16" s="14"/>
      <c r="J16" s="2"/>
    </row>
    <row r="17" spans="1:10" ht="15.75" customHeight="1">
      <c r="A17" s="5" t="s">
        <v>250</v>
      </c>
      <c r="B17" s="16"/>
      <c r="C17" s="1"/>
      <c r="D17" s="30">
        <v>0.5</v>
      </c>
      <c r="E17" s="28">
        <f>IF($A$15&lt;$A$18,"Vs30 Limit",EXP(IF($A$6&lt;=6.75,IF($A$15&lt;=900,'I08 Coeffs'!B17,'I08 Coeffs'!B17+'I08 Coeffs'!L17),IF($A$15&lt;=900,'I08 Coeffs'!F17,'I08 Coeffs'!F17+'I08 Coeffs'!L17))+IF($A$6&lt;=6.75,'I08 Coeffs'!C17,'I08 Coeffs'!G17)*$A$6-(IF($A$6&lt;=6.75,'I08 Coeffs'!D17,'I08 Coeffs'!H17)+IF('I08'!$A$6&lt;=6.75,'I08 Coeffs'!E17,'I08 Coeffs'!I17)*'I08'!$A$6)*LN($A$9+10)+'I08 Coeffs'!J17*'I08'!$A$9+'I08 Coeffs'!K17*'I08'!$A$12))</f>
        <v>0.39024609650831443</v>
      </c>
      <c r="F17" s="28">
        <f t="shared" si="0"/>
        <v>0.60534264097200274</v>
      </c>
      <c r="G17" s="14"/>
      <c r="H17" s="14"/>
      <c r="I17" s="14"/>
      <c r="J17" s="2"/>
    </row>
    <row r="18" spans="1:10" ht="15.75" customHeight="1">
      <c r="A18" s="17">
        <v>450</v>
      </c>
      <c r="B18" s="29"/>
      <c r="C18" s="1"/>
      <c r="D18" s="31">
        <v>1</v>
      </c>
      <c r="E18" s="28">
        <f>IF($A$15&lt;$A$18,"Vs30 Limit",EXP(IF($A$6&lt;=6.75,IF($A$15&lt;=900,'I08 Coeffs'!B19,'I08 Coeffs'!B19+'I08 Coeffs'!L19),IF($A$15&lt;=900,'I08 Coeffs'!F19,'I08 Coeffs'!F19+'I08 Coeffs'!L19))+IF($A$6&lt;=6.75,'I08 Coeffs'!C19,'I08 Coeffs'!G19)*$A$6-(IF($A$6&lt;=6.75,'I08 Coeffs'!D19,'I08 Coeffs'!H19)+IF('I08'!$A$6&lt;=6.75,'I08 Coeffs'!E19,'I08 Coeffs'!I19)*'I08'!$A$6)*LN($A$9+10)+'I08 Coeffs'!J19*'I08'!$A$9+'I08 Coeffs'!K19*'I08'!$A$12))</f>
        <v>0.25233352752778393</v>
      </c>
      <c r="F18" s="28">
        <f t="shared" si="0"/>
        <v>0.64</v>
      </c>
      <c r="G18" s="14"/>
      <c r="H18" s="14"/>
      <c r="I18" s="14"/>
      <c r="J18" s="2"/>
    </row>
    <row r="19" spans="1:10" ht="15.75" customHeight="1">
      <c r="A19" s="17"/>
      <c r="B19" s="29"/>
      <c r="C19" s="1"/>
      <c r="D19" s="31">
        <v>1.5</v>
      </c>
      <c r="E19" s="28">
        <f>IF($A$15&lt;$A$18,"Vs30 Limit",EXP(IF($A$6&lt;=6.75,IF($A$15&lt;=900,'I08 Coeffs'!B20,'I08 Coeffs'!B20+'I08 Coeffs'!L20),IF($A$15&lt;=900,'I08 Coeffs'!F20,'I08 Coeffs'!F20+'I08 Coeffs'!L20))+IF($A$6&lt;=6.75,'I08 Coeffs'!C20,'I08 Coeffs'!G20)*$A$6-(IF($A$6&lt;=6.75,'I08 Coeffs'!D20,'I08 Coeffs'!H20)+IF('I08'!$A$6&lt;=6.75,'I08 Coeffs'!E20,'I08 Coeffs'!I20)*'I08'!$A$6)*LN($A$9+10)+'I08 Coeffs'!J20*'I08'!$A$9+'I08 Coeffs'!K20*'I08'!$A$12))</f>
        <v>0.17407873455950013</v>
      </c>
      <c r="F19" s="28">
        <f t="shared" si="0"/>
        <v>0.66027325540540815</v>
      </c>
      <c r="G19" s="14"/>
      <c r="H19" s="14"/>
      <c r="I19" s="14"/>
      <c r="J19" s="2"/>
    </row>
    <row r="20" spans="1:10" ht="15.75" customHeight="1">
      <c r="A20" s="5"/>
      <c r="B20" s="29"/>
      <c r="C20" s="1"/>
      <c r="D20" s="31">
        <v>2</v>
      </c>
      <c r="E20" s="28">
        <f>IF($A$15&lt;$A$18,"Vs30 Limit",EXP(IF($A$6&lt;=6.75,IF($A$15&lt;=900,'I08 Coeffs'!B21,'I08 Coeffs'!B21+'I08 Coeffs'!L21),IF($A$15&lt;=900,'I08 Coeffs'!F21,'I08 Coeffs'!F21+'I08 Coeffs'!L21))+IF($A$6&lt;=6.75,'I08 Coeffs'!C21,'I08 Coeffs'!G21)*$A$6-(IF($A$6&lt;=6.75,'I08 Coeffs'!D21,'I08 Coeffs'!H21)+IF('I08'!$A$6&lt;=6.75,'I08 Coeffs'!E21,'I08 Coeffs'!I21)*'I08'!$A$6)*LN($A$9+10)+'I08 Coeffs'!J21*'I08'!$A$9+'I08 Coeffs'!K21*'I08'!$A$12))</f>
        <v>0.12252848937553558</v>
      </c>
      <c r="F20" s="28">
        <f t="shared" si="0"/>
        <v>0.67465735902799728</v>
      </c>
      <c r="G20" s="14"/>
      <c r="H20" s="14"/>
      <c r="I20" s="14"/>
      <c r="J20" s="2"/>
    </row>
    <row r="21" spans="1:10" ht="15.75" customHeight="1">
      <c r="A21" s="17"/>
      <c r="B21" s="29"/>
      <c r="C21" s="1"/>
      <c r="D21" s="31">
        <v>3</v>
      </c>
      <c r="E21" s="28">
        <f>IF($A$15&lt;$A$18,"Vs30 Limit",EXP(IF($A$6&lt;=6.75,IF($A$15&lt;=900,'I08 Coeffs'!B22,'I08 Coeffs'!B22+'I08 Coeffs'!L22),IF($A$15&lt;=900,'I08 Coeffs'!F22,'I08 Coeffs'!F22+'I08 Coeffs'!L22))+IF($A$6&lt;=6.75,'I08 Coeffs'!C22,'I08 Coeffs'!G22)*$A$6-(IF($A$6&lt;=6.75,'I08 Coeffs'!D22,'I08 Coeffs'!H22)+IF('I08'!$A$6&lt;=6.75,'I08 Coeffs'!E22,'I08 Coeffs'!I22)*'I08'!$A$6)*LN($A$9+10)+'I08 Coeffs'!J22*'I08'!$A$9+'I08 Coeffs'!K22*'I08'!$A$12))</f>
        <v>7.3217168580534855E-2</v>
      </c>
      <c r="F21" s="28">
        <f t="shared" si="0"/>
        <v>0.69493061443340542</v>
      </c>
      <c r="G21" s="14"/>
      <c r="H21" s="14"/>
      <c r="I21" s="14"/>
      <c r="J21" s="2"/>
    </row>
    <row r="22" spans="1:10" ht="15.75" customHeight="1">
      <c r="A22" s="17"/>
      <c r="B22" s="16"/>
      <c r="C22" s="1"/>
      <c r="D22" s="31">
        <v>4</v>
      </c>
      <c r="E22" s="28">
        <f>IF($A$15&lt;$A$18,"Vs30 Limit",EXP(IF($A$6&lt;=6.75,IF($A$15&lt;=900,'I08 Coeffs'!B23,'I08 Coeffs'!B23+'I08 Coeffs'!L23),IF($A$15&lt;=900,'I08 Coeffs'!F23,'I08 Coeffs'!F23+'I08 Coeffs'!L23))+IF($A$6&lt;=6.75,'I08 Coeffs'!C23,'I08 Coeffs'!G23)*$A$6-(IF($A$6&lt;=6.75,'I08 Coeffs'!D23,'I08 Coeffs'!H23)+IF('I08'!$A$6&lt;=6.75,'I08 Coeffs'!E23,'I08 Coeffs'!I23)*'I08'!$A$6)*LN($A$9+10)+'I08 Coeffs'!J23*'I08'!$A$9+'I08 Coeffs'!K23*'I08'!$A$12))</f>
        <v>4.7257080818633029E-2</v>
      </c>
      <c r="F22" s="28">
        <f t="shared" si="0"/>
        <v>0.69493061443340542</v>
      </c>
      <c r="G22" s="14"/>
      <c r="H22" s="14"/>
      <c r="I22" s="14"/>
      <c r="J22" s="2"/>
    </row>
    <row r="23" spans="1:10" ht="15.75" customHeight="1">
      <c r="A23" s="5"/>
      <c r="B23" s="16"/>
      <c r="C23" s="1"/>
      <c r="D23" s="31">
        <v>5</v>
      </c>
      <c r="E23" s="28">
        <f>IF($A$15&lt;$A$18,"Vs30 Limit",EXP(IF($A$6&lt;=6.75,IF($A$15&lt;=900,'I08 Coeffs'!B24,'I08 Coeffs'!B24+'I08 Coeffs'!L24),IF($A$15&lt;=900,'I08 Coeffs'!F24,'I08 Coeffs'!F24+'I08 Coeffs'!L24))+IF($A$6&lt;=6.75,'I08 Coeffs'!C24,'I08 Coeffs'!G24)*$A$6-(IF($A$6&lt;=6.75,'I08 Coeffs'!D24,'I08 Coeffs'!H24)+IF('I08'!$A$6&lt;=6.75,'I08 Coeffs'!E24,'I08 Coeffs'!I24)*'I08'!$A$6)*LN($A$9+10)+'I08 Coeffs'!J24*'I08'!$A$9+'I08 Coeffs'!K24*'I08'!$A$12))</f>
        <v>3.3564210269690781E-2</v>
      </c>
      <c r="F23" s="28">
        <f t="shared" si="0"/>
        <v>0.69493061443340542</v>
      </c>
      <c r="G23" s="14"/>
      <c r="H23" s="14"/>
      <c r="I23" s="14"/>
      <c r="J23" s="2"/>
    </row>
    <row r="24" spans="1:10" ht="15.75" customHeight="1">
      <c r="A24" s="17"/>
      <c r="B24" s="16"/>
      <c r="C24" s="1"/>
      <c r="D24" s="31">
        <v>10</v>
      </c>
      <c r="E24" s="28">
        <f>IF($A$15&lt;$A$18,"Vs30 Limit",EXP(IF($A$6&lt;=6.75,IF($A$15&lt;=900,'I08 Coeffs'!B26,'I08 Coeffs'!B26+'I08 Coeffs'!L26),IF($A$15&lt;=900,'I08 Coeffs'!F26,'I08 Coeffs'!F26+'I08 Coeffs'!L26))+IF($A$6&lt;=6.75,'I08 Coeffs'!C26,'I08 Coeffs'!G26)*$A$6-(IF($A$6&lt;=6.75,'I08 Coeffs'!D26,'I08 Coeffs'!H26)+IF('I08'!$A$6&lt;=6.75,'I08 Coeffs'!E26,'I08 Coeffs'!I26)*'I08'!$A$6)*LN($A$9+10)+'I08 Coeffs'!J26*'I08'!$A$9+'I08 Coeffs'!K26*'I08'!$A$12))</f>
        <v>9.4692843657566902E-3</v>
      </c>
      <c r="F24" s="28">
        <f t="shared" si="0"/>
        <v>0.69493061443340542</v>
      </c>
      <c r="G24" s="14"/>
      <c r="H24" s="14"/>
      <c r="I24" s="14"/>
      <c r="J24" s="2"/>
    </row>
    <row r="25" spans="1:10" ht="15.75" customHeight="1">
      <c r="A25" s="16"/>
      <c r="B25" s="16"/>
      <c r="C25" s="1"/>
      <c r="G25" s="14"/>
      <c r="H25" s="14"/>
      <c r="I25" s="14"/>
      <c r="J25" s="2"/>
    </row>
    <row r="26" spans="1:10" ht="15.75" customHeight="1">
      <c r="A26" s="5"/>
      <c r="B26" s="16"/>
      <c r="C26" s="1" t="s">
        <v>31</v>
      </c>
      <c r="D26" s="32">
        <v>0</v>
      </c>
      <c r="E26" s="28">
        <f>IF($A$15&lt;$A$18,"Vs30 Limit",EXP(IF($A$6&lt;=6.75,IF($A$15&lt;=900,'I08 Coeffs'!B5,'I08 Coeffs'!B5+'I08 Coeffs'!L5),IF($A$15&lt;=900,'I08 Coeffs'!F5,'I08 Coeffs'!F5+'I08 Coeffs'!L5))+IF($A$6&lt;=6.75,'I08 Coeffs'!C5,'I08 Coeffs'!G5)*$A$6-(IF($A$6&lt;=6.75,'I08 Coeffs'!D5,'I08 Coeffs'!H5)+IF('I08'!$A$6&lt;=6.75,'I08 Coeffs'!E5,'I08 Coeffs'!I5)*'I08'!$A$6)*LN($A$9+10)+'I08 Coeffs'!J5*'I08'!$A$9+'I08 Coeffs'!K5*'I08'!$A$12))</f>
        <v>0.20321372030398632</v>
      </c>
      <c r="F26" s="28">
        <f>IF($A$15&lt;$A$18,"Vs30 Limit",1.28+0.05*LN(IF(D6&lt;0.05,0.05,IF(D6&gt;3,3,D6)))-0.08*$A$6)</f>
        <v>0.49021338632230049</v>
      </c>
      <c r="G26" s="14"/>
      <c r="H26" s="14"/>
      <c r="I26" s="14"/>
      <c r="J26" s="2"/>
    </row>
    <row r="27" spans="1:10" ht="15.75" customHeight="1">
      <c r="A27" s="25"/>
      <c r="B27" s="16"/>
      <c r="C27" s="1"/>
      <c r="G27" s="14"/>
      <c r="H27" s="14"/>
      <c r="I27" s="14"/>
      <c r="J27" s="2"/>
    </row>
    <row r="28" spans="1:10" ht="15.75" customHeight="1">
      <c r="A28" s="25"/>
      <c r="B28" s="16"/>
      <c r="C28" s="16"/>
      <c r="D28" s="71"/>
      <c r="E28" s="28"/>
      <c r="F28" s="28"/>
      <c r="G28" s="14"/>
      <c r="H28" s="14"/>
      <c r="I28" s="14"/>
      <c r="J28" s="2"/>
    </row>
    <row r="29" spans="1:10" ht="15.75" customHeight="1">
      <c r="A29" s="23"/>
      <c r="B29" s="16"/>
      <c r="G29" s="14"/>
      <c r="H29" s="14"/>
      <c r="I29" s="14"/>
      <c r="J29" s="2"/>
    </row>
    <row r="30" spans="1:10" ht="15.75" customHeight="1">
      <c r="A30" s="17"/>
      <c r="B30" s="16"/>
      <c r="C30" s="1"/>
      <c r="D30" s="71"/>
      <c r="E30" s="33"/>
      <c r="F30" s="28"/>
      <c r="G30" s="14"/>
      <c r="H30" s="14"/>
      <c r="I30" s="14"/>
      <c r="J30" s="2"/>
    </row>
    <row r="31" spans="1:10" ht="15.75" customHeight="1">
      <c r="A31" s="40" t="s">
        <v>34</v>
      </c>
      <c r="B31" s="37"/>
      <c r="C31" s="1"/>
      <c r="D31" s="71"/>
      <c r="E31" s="33"/>
      <c r="F31" s="27"/>
      <c r="G31" s="2"/>
      <c r="H31" s="2"/>
      <c r="I31" s="2"/>
      <c r="J31" s="2"/>
    </row>
    <row r="32" spans="1:10" ht="15.75" customHeight="1">
      <c r="B32" s="37"/>
      <c r="C32" s="1"/>
      <c r="D32" s="71"/>
      <c r="E32" s="33"/>
      <c r="F32" s="27"/>
      <c r="G32" s="2"/>
      <c r="H32" s="2"/>
      <c r="I32" s="2"/>
      <c r="J32" s="2"/>
    </row>
    <row r="33" spans="1:14" ht="15.75" customHeight="1">
      <c r="A33" s="41" t="s">
        <v>50</v>
      </c>
      <c r="B33" s="37" t="s">
        <v>39</v>
      </c>
      <c r="D33" s="71"/>
      <c r="E33" s="33"/>
      <c r="F33" s="27"/>
      <c r="G33" s="2"/>
      <c r="H33" s="2"/>
      <c r="I33" s="2"/>
      <c r="J33" s="2"/>
    </row>
    <row r="34" spans="1:14" ht="15.75" customHeight="1">
      <c r="A34" s="41" t="s">
        <v>35</v>
      </c>
      <c r="B34" s="37" t="s">
        <v>36</v>
      </c>
      <c r="D34" s="71"/>
      <c r="E34" s="33"/>
      <c r="F34" s="27"/>
      <c r="G34" s="2"/>
      <c r="H34" s="2"/>
      <c r="I34" s="2"/>
      <c r="J34" s="2"/>
    </row>
    <row r="35" spans="1:14" ht="15.75" customHeight="1">
      <c r="A35" s="42" t="s">
        <v>45</v>
      </c>
      <c r="B35" s="37" t="s">
        <v>37</v>
      </c>
      <c r="C35" s="16"/>
      <c r="D35" s="71"/>
      <c r="E35" s="33"/>
      <c r="J35" s="2"/>
    </row>
    <row r="36" spans="1:14" ht="15.75" customHeight="1">
      <c r="A36" s="43" t="s">
        <v>91</v>
      </c>
      <c r="B36" s="37" t="s">
        <v>40</v>
      </c>
      <c r="C36" s="16"/>
      <c r="D36" s="71"/>
      <c r="E36" s="33"/>
      <c r="J36" s="2"/>
    </row>
    <row r="37" spans="1:14" ht="15.75" customHeight="1">
      <c r="A37" s="45" t="s">
        <v>251</v>
      </c>
      <c r="B37" s="73" t="s">
        <v>252</v>
      </c>
      <c r="C37" s="16"/>
      <c r="D37" s="71"/>
      <c r="E37" s="33"/>
      <c r="J37" s="2"/>
    </row>
    <row r="38" spans="1:14" ht="15.75" customHeight="1">
      <c r="A38" s="43" t="s">
        <v>98</v>
      </c>
      <c r="B38" s="37" t="s">
        <v>44</v>
      </c>
      <c r="C38" s="16"/>
      <c r="D38" s="71"/>
      <c r="E38" s="33"/>
      <c r="J38" s="2"/>
    </row>
    <row r="39" spans="1:14" ht="15.75" customHeight="1">
      <c r="A39" s="45" t="s">
        <v>253</v>
      </c>
      <c r="B39" s="73" t="s">
        <v>254</v>
      </c>
      <c r="C39" s="16"/>
      <c r="D39" s="71"/>
      <c r="E39" s="33"/>
      <c r="J39" s="2"/>
      <c r="M39" s="4"/>
      <c r="N39" s="4"/>
    </row>
    <row r="40" spans="1:14" ht="15.75" customHeight="1">
      <c r="A40" s="43"/>
      <c r="B40" s="37"/>
      <c r="C40" s="16"/>
      <c r="J40" s="2"/>
      <c r="M40" s="4"/>
      <c r="N40" s="4"/>
    </row>
    <row r="41" spans="1:14" ht="15.75" customHeight="1">
      <c r="A41" s="43"/>
      <c r="B41" s="37"/>
      <c r="C41" s="16"/>
      <c r="J41" s="2"/>
      <c r="K41" s="13"/>
      <c r="L41" s="13"/>
      <c r="M41" s="14"/>
      <c r="N41" s="14"/>
    </row>
    <row r="42" spans="1:14" ht="15.75" customHeight="1">
      <c r="A42" s="43"/>
      <c r="B42" s="37"/>
      <c r="C42" s="16"/>
      <c r="J42" s="2"/>
      <c r="K42" s="13"/>
      <c r="L42" s="13"/>
      <c r="M42" s="14"/>
      <c r="N42" s="14"/>
    </row>
    <row r="43" spans="1:14" ht="15.75" customHeight="1">
      <c r="A43" s="44"/>
      <c r="B43" s="37"/>
      <c r="C43" s="16"/>
      <c r="J43" s="2"/>
      <c r="K43" s="13"/>
      <c r="L43" s="13"/>
      <c r="M43" s="14"/>
      <c r="N43" s="14"/>
    </row>
    <row r="44" spans="1:14" ht="15.75" customHeight="1">
      <c r="C44" s="16"/>
      <c r="J44" s="2"/>
      <c r="K44" s="13"/>
      <c r="L44" s="13"/>
      <c r="M44" s="14"/>
      <c r="N44" s="14"/>
    </row>
    <row r="45" spans="1:14" ht="15.75" customHeight="1">
      <c r="A45" s="43"/>
      <c r="B45" s="37"/>
      <c r="C45" s="16"/>
      <c r="J45" s="2"/>
    </row>
    <row r="46" spans="1:14" ht="15.75" customHeight="1">
      <c r="A46" s="43"/>
      <c r="B46" s="37"/>
    </row>
    <row r="47" spans="1:14" ht="15.75" customHeight="1">
      <c r="A47" s="43"/>
      <c r="B47" s="37"/>
    </row>
    <row r="48" spans="1:14" ht="15.75" customHeight="1">
      <c r="A48" s="43"/>
      <c r="B48" s="37"/>
    </row>
    <row r="49" spans="1:2" ht="15.75" customHeight="1">
      <c r="A49" s="45"/>
      <c r="B49" s="37"/>
    </row>
    <row r="50" spans="1:2" ht="15.75" customHeight="1"/>
    <row r="51" spans="1:2" ht="15.75" customHeight="1"/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/>
    <row r="62" spans="1:2" ht="15.75" customHeight="1"/>
    <row r="63" spans="1:2" ht="15.75" customHeight="1"/>
    <row r="64" spans="1:2" ht="15.75" customHeight="1"/>
    <row r="65" ht="15.75" customHeight="1"/>
  </sheetData>
  <sheetProtection sheet="1" deleteColumns="0" deleteRows="0" sort="0"/>
  <mergeCells count="1">
    <mergeCell ref="C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8"/>
  <sheetViews>
    <sheetView workbookViewId="0">
      <selection activeCell="L8" sqref="L8"/>
    </sheetView>
  </sheetViews>
  <sheetFormatPr defaultRowHeight="12.75"/>
  <cols>
    <col min="1" max="1" width="9.140625" style="4"/>
    <col min="2" max="7" width="9.140625" style="2"/>
    <col min="8" max="8" width="9.140625" style="3"/>
    <col min="9" max="14" width="9.140625" style="2"/>
    <col min="15" max="15" width="9.140625" style="4"/>
    <col min="16" max="17" width="9.140625" style="2"/>
    <col min="18" max="21" width="9.140625" style="4"/>
    <col min="23" max="23" width="9.140625" style="2"/>
  </cols>
  <sheetData>
    <row r="1" spans="1:28" ht="15.75" customHeight="1">
      <c r="A1" s="1" t="s">
        <v>0</v>
      </c>
    </row>
    <row r="2" spans="1:28" ht="15.75" customHeight="1">
      <c r="A2" s="1"/>
    </row>
    <row r="3" spans="1:28" ht="15.75" customHeight="1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5" t="s">
        <v>6</v>
      </c>
      <c r="G3" s="8" t="s">
        <v>7</v>
      </c>
      <c r="H3" s="7" t="s">
        <v>8</v>
      </c>
      <c r="I3" s="9" t="s">
        <v>9</v>
      </c>
      <c r="J3" s="9" t="s">
        <v>10</v>
      </c>
      <c r="K3" s="9" t="s">
        <v>11</v>
      </c>
      <c r="L3" s="6" t="s">
        <v>12</v>
      </c>
      <c r="M3" s="6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10" t="s">
        <v>21</v>
      </c>
      <c r="V3" s="10" t="s">
        <v>22</v>
      </c>
      <c r="W3" s="10" t="s">
        <v>23</v>
      </c>
      <c r="X3" s="10" t="s">
        <v>22</v>
      </c>
      <c r="Y3" s="10" t="s">
        <v>23</v>
      </c>
      <c r="Z3" s="10" t="s">
        <v>24</v>
      </c>
      <c r="AA3" s="10" t="s">
        <v>25</v>
      </c>
      <c r="AB3" s="11" t="s">
        <v>26</v>
      </c>
    </row>
    <row r="4" spans="1:28" ht="15.75" customHeight="1">
      <c r="H4" s="4"/>
      <c r="M4" s="3"/>
      <c r="O4" s="2"/>
      <c r="P4" s="4"/>
      <c r="Q4" s="4"/>
      <c r="R4" s="2"/>
      <c r="S4" s="2"/>
      <c r="T4" s="2"/>
      <c r="V4" s="105" t="s">
        <v>27</v>
      </c>
      <c r="W4" s="105"/>
      <c r="X4" s="105" t="s">
        <v>28</v>
      </c>
      <c r="Y4" s="105"/>
    </row>
    <row r="5" spans="1:28" ht="15.75" customHeight="1">
      <c r="A5" s="2">
        <v>0.01</v>
      </c>
      <c r="B5" s="4">
        <v>6.75</v>
      </c>
      <c r="C5" s="4">
        <v>4.5</v>
      </c>
      <c r="D5" s="4">
        <v>0.26500000000000001</v>
      </c>
      <c r="E5" s="4">
        <v>-0.23100000000000001</v>
      </c>
      <c r="F5" s="4">
        <v>-0.39800000000000002</v>
      </c>
      <c r="G5" s="4">
        <v>1.18</v>
      </c>
      <c r="H5" s="4">
        <v>1.88</v>
      </c>
      <c r="I5" s="13">
        <v>50</v>
      </c>
      <c r="J5" s="13">
        <v>865.1</v>
      </c>
      <c r="K5" s="2">
        <v>-1.1859999999999999</v>
      </c>
      <c r="L5" s="14">
        <v>0.81100000000000005</v>
      </c>
      <c r="M5" s="14">
        <v>-0.96789999999999998</v>
      </c>
      <c r="N5" s="14">
        <v>-3.7199999999999997E-2</v>
      </c>
      <c r="O5" s="14">
        <v>0.94450000000000001</v>
      </c>
      <c r="P5" s="14">
        <v>0</v>
      </c>
      <c r="Q5" s="14">
        <v>-0.06</v>
      </c>
      <c r="R5" s="14">
        <v>1.08</v>
      </c>
      <c r="S5" s="14">
        <v>-0.35</v>
      </c>
      <c r="T5" s="14">
        <v>0.9</v>
      </c>
      <c r="U5" s="14">
        <v>-6.7000000000000002E-3</v>
      </c>
      <c r="V5" s="2">
        <v>0.59</v>
      </c>
      <c r="W5" s="2">
        <v>0.47</v>
      </c>
      <c r="X5" s="2">
        <v>0.57599999999999996</v>
      </c>
      <c r="Y5" s="2">
        <v>0.45300000000000001</v>
      </c>
      <c r="Z5" s="2">
        <v>0.42</v>
      </c>
      <c r="AA5" s="2">
        <v>0.3</v>
      </c>
      <c r="AB5" s="2">
        <v>1</v>
      </c>
    </row>
    <row r="6" spans="1:28" ht="15.75" customHeight="1">
      <c r="A6" s="2">
        <v>0.02</v>
      </c>
      <c r="B6" s="4">
        <v>6.75</v>
      </c>
      <c r="C6" s="4">
        <v>4.5</v>
      </c>
      <c r="D6" s="4">
        <v>0.26500000000000001</v>
      </c>
      <c r="E6" s="4">
        <v>-0.23100000000000001</v>
      </c>
      <c r="F6" s="4">
        <v>-0.39800000000000002</v>
      </c>
      <c r="G6" s="4">
        <v>1.18</v>
      </c>
      <c r="H6" s="4">
        <v>1.88</v>
      </c>
      <c r="I6" s="13">
        <v>50</v>
      </c>
      <c r="J6" s="13">
        <v>865.1</v>
      </c>
      <c r="K6" s="2">
        <v>-1.2190000000000001</v>
      </c>
      <c r="L6" s="14">
        <v>0.85499999999999998</v>
      </c>
      <c r="M6" s="14">
        <v>-0.97740000000000005</v>
      </c>
      <c r="N6" s="14">
        <v>-3.7199999999999997E-2</v>
      </c>
      <c r="O6" s="14">
        <v>0.98340000000000005</v>
      </c>
      <c r="P6" s="14">
        <v>0</v>
      </c>
      <c r="Q6" s="14">
        <v>-0.06</v>
      </c>
      <c r="R6" s="14">
        <v>1.08</v>
      </c>
      <c r="S6" s="14">
        <v>-0.35</v>
      </c>
      <c r="T6" s="14">
        <v>0.9</v>
      </c>
      <c r="U6" s="14">
        <v>-6.7000000000000002E-3</v>
      </c>
      <c r="V6" s="2">
        <v>0.59</v>
      </c>
      <c r="W6" s="2">
        <v>0.47</v>
      </c>
      <c r="X6" s="2">
        <v>0.57599999999999996</v>
      </c>
      <c r="Y6" s="2">
        <v>0.45300000000000001</v>
      </c>
      <c r="Z6" s="2">
        <v>0.42</v>
      </c>
      <c r="AA6" s="2">
        <v>0.3</v>
      </c>
      <c r="AB6" s="2">
        <v>1</v>
      </c>
    </row>
    <row r="7" spans="1:28" ht="15.75" customHeight="1">
      <c r="A7" s="2">
        <v>0.03</v>
      </c>
      <c r="B7" s="4">
        <v>6.75</v>
      </c>
      <c r="C7" s="4">
        <v>4.5</v>
      </c>
      <c r="D7" s="4">
        <v>0.26500000000000001</v>
      </c>
      <c r="E7" s="4">
        <v>-0.23100000000000001</v>
      </c>
      <c r="F7" s="4">
        <v>-0.39800000000000002</v>
      </c>
      <c r="G7" s="4">
        <v>1.18</v>
      </c>
      <c r="H7" s="4">
        <v>1.88</v>
      </c>
      <c r="I7" s="13">
        <v>50</v>
      </c>
      <c r="J7" s="13">
        <v>907.8</v>
      </c>
      <c r="K7" s="2">
        <v>-1.2729999999999999</v>
      </c>
      <c r="L7" s="14">
        <v>0.96199999999999997</v>
      </c>
      <c r="M7" s="14">
        <v>-1.0024</v>
      </c>
      <c r="N7" s="14">
        <v>-3.7199999999999997E-2</v>
      </c>
      <c r="O7" s="14">
        <v>1.0470999999999999</v>
      </c>
      <c r="P7" s="14">
        <v>0</v>
      </c>
      <c r="Q7" s="14">
        <v>-0.06</v>
      </c>
      <c r="R7" s="14">
        <v>1.1331</v>
      </c>
      <c r="S7" s="14">
        <v>-0.35</v>
      </c>
      <c r="T7" s="14">
        <v>0.9</v>
      </c>
      <c r="U7" s="14">
        <v>-6.7000000000000002E-3</v>
      </c>
      <c r="V7" s="2">
        <v>0.60499999999999998</v>
      </c>
      <c r="W7" s="2">
        <v>0.47799999999999998</v>
      </c>
      <c r="X7" s="2">
        <v>0.59099999999999997</v>
      </c>
      <c r="Y7" s="2">
        <v>0.46100000000000002</v>
      </c>
      <c r="Z7" s="2">
        <v>0.46200000000000002</v>
      </c>
      <c r="AA7" s="2">
        <v>0.30499999999999999</v>
      </c>
      <c r="AB7" s="2">
        <v>0.99099999999999999</v>
      </c>
    </row>
    <row r="8" spans="1:28" ht="15.75" customHeight="1">
      <c r="A8" s="2">
        <v>0.04</v>
      </c>
      <c r="B8" s="4">
        <v>6.75</v>
      </c>
      <c r="C8" s="4">
        <v>4.5</v>
      </c>
      <c r="D8" s="4">
        <v>0.26500000000000001</v>
      </c>
      <c r="E8" s="4">
        <v>-0.23100000000000001</v>
      </c>
      <c r="F8" s="4">
        <v>-0.39800000000000002</v>
      </c>
      <c r="G8" s="4">
        <v>1.18</v>
      </c>
      <c r="H8" s="4">
        <v>1.88</v>
      </c>
      <c r="I8" s="13">
        <v>50</v>
      </c>
      <c r="J8" s="13">
        <v>994.5</v>
      </c>
      <c r="K8" s="2">
        <v>-1.3080000000000001</v>
      </c>
      <c r="L8" s="14">
        <v>1.0369999999999999</v>
      </c>
      <c r="M8" s="14">
        <v>-1.0288999999999999</v>
      </c>
      <c r="N8" s="14">
        <v>-3.15E-2</v>
      </c>
      <c r="O8" s="14">
        <v>1.0884</v>
      </c>
      <c r="P8" s="14">
        <v>0</v>
      </c>
      <c r="Q8" s="14">
        <v>-0.06</v>
      </c>
      <c r="R8" s="14">
        <v>1.1708000000000001</v>
      </c>
      <c r="S8" s="14">
        <v>-0.35</v>
      </c>
      <c r="T8" s="14">
        <v>0.9</v>
      </c>
      <c r="U8" s="14">
        <v>-6.7000000000000002E-3</v>
      </c>
      <c r="V8" s="2">
        <v>0.61499999999999999</v>
      </c>
      <c r="W8" s="2">
        <v>0.48299999999999998</v>
      </c>
      <c r="X8" s="2">
        <v>0.60199999999999998</v>
      </c>
      <c r="Y8" s="2">
        <v>0.46600000000000003</v>
      </c>
      <c r="Z8" s="2">
        <v>0.49199999999999999</v>
      </c>
      <c r="AA8" s="2">
        <v>0.309</v>
      </c>
      <c r="AB8" s="2">
        <v>0.98199999999999998</v>
      </c>
    </row>
    <row r="9" spans="1:28" ht="15.75" customHeight="1">
      <c r="A9" s="2">
        <v>0.05</v>
      </c>
      <c r="B9" s="4">
        <v>6.75</v>
      </c>
      <c r="C9" s="4">
        <v>4.5</v>
      </c>
      <c r="D9" s="4">
        <v>0.26500000000000001</v>
      </c>
      <c r="E9" s="4">
        <v>-0.23100000000000001</v>
      </c>
      <c r="F9" s="4">
        <v>-0.39800000000000002</v>
      </c>
      <c r="G9" s="4">
        <v>1.18</v>
      </c>
      <c r="H9" s="4">
        <v>1.88</v>
      </c>
      <c r="I9" s="13">
        <v>50</v>
      </c>
      <c r="J9" s="13">
        <v>1053.5</v>
      </c>
      <c r="K9" s="2">
        <v>-1.3460000000000001</v>
      </c>
      <c r="L9" s="14">
        <v>1.133</v>
      </c>
      <c r="M9" s="14">
        <v>-1.0508</v>
      </c>
      <c r="N9" s="14">
        <v>-2.7099999999999999E-2</v>
      </c>
      <c r="O9" s="14">
        <v>1.1333</v>
      </c>
      <c r="P9" s="14">
        <v>0</v>
      </c>
      <c r="Q9" s="14">
        <v>-0.06</v>
      </c>
      <c r="R9" s="14">
        <v>1.2</v>
      </c>
      <c r="S9" s="14">
        <v>-0.35</v>
      </c>
      <c r="T9" s="14">
        <v>0.9</v>
      </c>
      <c r="U9" s="14">
        <v>-7.6E-3</v>
      </c>
      <c r="V9" s="2">
        <v>0.623</v>
      </c>
      <c r="W9" s="2">
        <v>0.48799999999999999</v>
      </c>
      <c r="X9" s="2">
        <v>0.61</v>
      </c>
      <c r="Y9" s="2">
        <v>0.47099999999999997</v>
      </c>
      <c r="Z9" s="2">
        <v>0.51500000000000001</v>
      </c>
      <c r="AA9" s="2">
        <v>0.312</v>
      </c>
      <c r="AB9" s="2">
        <v>0.97299999999999998</v>
      </c>
    </row>
    <row r="10" spans="1:28" ht="15.75" customHeight="1">
      <c r="A10" s="2">
        <v>7.4999999999999997E-2</v>
      </c>
      <c r="B10" s="4">
        <v>6.75</v>
      </c>
      <c r="C10" s="4">
        <v>4.5</v>
      </c>
      <c r="D10" s="4">
        <v>0.26500000000000001</v>
      </c>
      <c r="E10" s="4">
        <v>-0.23100000000000001</v>
      </c>
      <c r="F10" s="4">
        <v>-0.39800000000000002</v>
      </c>
      <c r="G10" s="4">
        <v>1.18</v>
      </c>
      <c r="H10" s="4">
        <v>1.88</v>
      </c>
      <c r="I10" s="13">
        <v>50</v>
      </c>
      <c r="J10" s="13">
        <v>1085.7</v>
      </c>
      <c r="K10" s="2">
        <v>-1.4710000000000001</v>
      </c>
      <c r="L10" s="14">
        <v>1.375</v>
      </c>
      <c r="M10" s="14">
        <v>-1.081</v>
      </c>
      <c r="N10" s="14">
        <v>-1.9099999999999999E-2</v>
      </c>
      <c r="O10" s="14">
        <v>1.2807999999999999</v>
      </c>
      <c r="P10" s="14">
        <v>0</v>
      </c>
      <c r="Q10" s="14">
        <v>-0.06</v>
      </c>
      <c r="R10" s="14">
        <v>1.2</v>
      </c>
      <c r="S10" s="14">
        <v>-0.35</v>
      </c>
      <c r="T10" s="14">
        <v>0.9</v>
      </c>
      <c r="U10" s="14">
        <v>-9.2999999999999992E-3</v>
      </c>
      <c r="V10" s="2">
        <v>0.63</v>
      </c>
      <c r="W10" s="2">
        <v>0.495</v>
      </c>
      <c r="X10" s="2">
        <v>0.61699999999999999</v>
      </c>
      <c r="Y10" s="2">
        <v>0.47899999999999998</v>
      </c>
      <c r="Z10" s="2">
        <v>0.55000000000000004</v>
      </c>
      <c r="AA10" s="2">
        <v>0.317</v>
      </c>
      <c r="AB10" s="2">
        <v>0.95199999999999996</v>
      </c>
    </row>
    <row r="11" spans="1:28" ht="15.75" customHeight="1">
      <c r="A11" s="3">
        <v>0.1</v>
      </c>
      <c r="B11" s="4">
        <v>6.75</v>
      </c>
      <c r="C11" s="4">
        <v>4.5</v>
      </c>
      <c r="D11" s="4">
        <v>0.26500000000000001</v>
      </c>
      <c r="E11" s="4">
        <v>-0.23100000000000001</v>
      </c>
      <c r="F11" s="4">
        <v>-0.39800000000000002</v>
      </c>
      <c r="G11" s="4">
        <v>1.18</v>
      </c>
      <c r="H11" s="4">
        <v>1.88</v>
      </c>
      <c r="I11" s="13">
        <v>50</v>
      </c>
      <c r="J11" s="13">
        <v>1032.5</v>
      </c>
      <c r="K11" s="2">
        <v>-1.6240000000000001</v>
      </c>
      <c r="L11" s="14">
        <v>1.5629999999999999</v>
      </c>
      <c r="M11" s="14">
        <v>-1.0832999999999999</v>
      </c>
      <c r="N11" s="14">
        <v>-1.66E-2</v>
      </c>
      <c r="O11" s="14">
        <v>1.4613</v>
      </c>
      <c r="P11" s="14">
        <v>0</v>
      </c>
      <c r="Q11" s="14">
        <v>-0.06</v>
      </c>
      <c r="R11" s="14">
        <v>1.2</v>
      </c>
      <c r="S11" s="14">
        <v>-0.35</v>
      </c>
      <c r="T11" s="14">
        <v>0.9</v>
      </c>
      <c r="U11" s="14">
        <v>-9.2999999999999992E-3</v>
      </c>
      <c r="V11" s="2">
        <v>0.63</v>
      </c>
      <c r="W11" s="2">
        <v>0.501</v>
      </c>
      <c r="X11" s="2">
        <v>0.61699999999999999</v>
      </c>
      <c r="Y11" s="2">
        <v>0.48499999999999999</v>
      </c>
      <c r="Z11" s="2">
        <v>0.55000000000000004</v>
      </c>
      <c r="AA11" s="2">
        <v>0.32100000000000001</v>
      </c>
      <c r="AB11" s="2">
        <v>0.92900000000000005</v>
      </c>
    </row>
    <row r="12" spans="1:28" ht="15.75" customHeight="1">
      <c r="A12" s="3">
        <v>0.15</v>
      </c>
      <c r="B12" s="4">
        <v>6.75</v>
      </c>
      <c r="C12" s="4">
        <v>4.5</v>
      </c>
      <c r="D12" s="4">
        <v>0.26500000000000001</v>
      </c>
      <c r="E12" s="4">
        <v>-0.23100000000000001</v>
      </c>
      <c r="F12" s="4">
        <v>-0.39800000000000002</v>
      </c>
      <c r="G12" s="4">
        <v>1.18</v>
      </c>
      <c r="H12" s="4">
        <v>1.88</v>
      </c>
      <c r="I12" s="13">
        <v>50</v>
      </c>
      <c r="J12" s="13">
        <v>877.6</v>
      </c>
      <c r="K12" s="2">
        <v>-1.931</v>
      </c>
      <c r="L12" s="14">
        <v>1.716</v>
      </c>
      <c r="M12" s="14">
        <v>-1.0357000000000001</v>
      </c>
      <c r="N12" s="14">
        <v>-2.5399999999999999E-2</v>
      </c>
      <c r="O12" s="14">
        <v>1.8070999999999999</v>
      </c>
      <c r="P12" s="14">
        <v>1.8100000000000002E-2</v>
      </c>
      <c r="Q12" s="14">
        <v>-0.06</v>
      </c>
      <c r="R12" s="14">
        <v>1.1682999999999999</v>
      </c>
      <c r="S12" s="14">
        <v>-0.35</v>
      </c>
      <c r="T12" s="14">
        <v>0.9</v>
      </c>
      <c r="U12" s="14">
        <v>-9.2999999999999992E-3</v>
      </c>
      <c r="V12" s="2">
        <v>0.63</v>
      </c>
      <c r="W12" s="2">
        <v>0.50900000000000001</v>
      </c>
      <c r="X12" s="2">
        <v>0.61599999999999999</v>
      </c>
      <c r="Y12" s="2">
        <v>0.49099999999999999</v>
      </c>
      <c r="Z12" s="2">
        <v>0.55000000000000004</v>
      </c>
      <c r="AA12" s="2">
        <v>0.32600000000000001</v>
      </c>
      <c r="AB12" s="2">
        <v>0.89600000000000002</v>
      </c>
    </row>
    <row r="13" spans="1:28" ht="15.75" customHeight="1">
      <c r="A13" s="3">
        <v>0.2</v>
      </c>
      <c r="B13" s="4">
        <v>6.75</v>
      </c>
      <c r="C13" s="4">
        <v>4.5</v>
      </c>
      <c r="D13" s="4">
        <v>0.26500000000000001</v>
      </c>
      <c r="E13" s="4">
        <v>-0.23100000000000001</v>
      </c>
      <c r="F13" s="4">
        <v>-0.39800000000000002</v>
      </c>
      <c r="G13" s="4">
        <v>1.18</v>
      </c>
      <c r="H13" s="4">
        <v>1.88</v>
      </c>
      <c r="I13" s="13">
        <v>50</v>
      </c>
      <c r="J13" s="13">
        <v>748.2</v>
      </c>
      <c r="K13" s="2">
        <v>-2.1880000000000002</v>
      </c>
      <c r="L13" s="14">
        <v>1.6870000000000001</v>
      </c>
      <c r="M13" s="14">
        <v>-0.97</v>
      </c>
      <c r="N13" s="14">
        <v>-3.9600000000000003E-2</v>
      </c>
      <c r="O13" s="14">
        <v>2.0773000000000001</v>
      </c>
      <c r="P13" s="14">
        <v>3.09E-2</v>
      </c>
      <c r="Q13" s="14">
        <v>-0.06</v>
      </c>
      <c r="R13" s="14">
        <v>1.1274</v>
      </c>
      <c r="S13" s="14">
        <v>-0.35</v>
      </c>
      <c r="T13" s="14">
        <v>0.9</v>
      </c>
      <c r="U13" s="14">
        <v>-8.3000000000000001E-3</v>
      </c>
      <c r="V13" s="2">
        <v>0.63</v>
      </c>
      <c r="W13" s="2">
        <v>0.51400000000000001</v>
      </c>
      <c r="X13" s="2">
        <v>0.61399999999999999</v>
      </c>
      <c r="Y13" s="2">
        <v>0.495</v>
      </c>
      <c r="Z13" s="2">
        <v>0.52</v>
      </c>
      <c r="AA13" s="2">
        <v>0.32900000000000001</v>
      </c>
      <c r="AB13" s="2">
        <v>0.874</v>
      </c>
    </row>
    <row r="14" spans="1:28" ht="15.75" customHeight="1">
      <c r="A14" s="3">
        <v>0.25</v>
      </c>
      <c r="B14" s="4">
        <v>6.75</v>
      </c>
      <c r="C14" s="4">
        <v>4.5</v>
      </c>
      <c r="D14" s="4">
        <v>0.26500000000000001</v>
      </c>
      <c r="E14" s="4">
        <v>-0.23100000000000001</v>
      </c>
      <c r="F14" s="4">
        <v>-0.39800000000000002</v>
      </c>
      <c r="G14" s="4">
        <v>1.18</v>
      </c>
      <c r="H14" s="4">
        <v>1.88</v>
      </c>
      <c r="I14" s="13">
        <v>50</v>
      </c>
      <c r="J14" s="13">
        <v>654.29999999999995</v>
      </c>
      <c r="K14" s="2">
        <v>-2.3809999999999998</v>
      </c>
      <c r="L14" s="14">
        <v>1.6459999999999999</v>
      </c>
      <c r="M14" s="14">
        <v>-0.92020000000000002</v>
      </c>
      <c r="N14" s="14">
        <v>-5.3900000000000003E-2</v>
      </c>
      <c r="O14" s="14">
        <v>2.2793999999999999</v>
      </c>
      <c r="P14" s="14">
        <v>4.0899999999999999E-2</v>
      </c>
      <c r="Q14" s="14">
        <v>-0.06</v>
      </c>
      <c r="R14" s="14">
        <v>1.0955999999999999</v>
      </c>
      <c r="S14" s="14">
        <v>-0.35</v>
      </c>
      <c r="T14" s="14">
        <v>0.9</v>
      </c>
      <c r="U14" s="14">
        <v>-6.8999999999999999E-3</v>
      </c>
      <c r="V14" s="2">
        <v>0.63</v>
      </c>
      <c r="W14" s="2">
        <v>0.51800000000000002</v>
      </c>
      <c r="X14" s="2">
        <v>0.61199999999999999</v>
      </c>
      <c r="Y14" s="2">
        <v>0.497</v>
      </c>
      <c r="Z14" s="2">
        <v>0.497</v>
      </c>
      <c r="AA14" s="2">
        <v>0.33200000000000002</v>
      </c>
      <c r="AB14" s="2">
        <v>0.85599999999999998</v>
      </c>
    </row>
    <row r="15" spans="1:28" ht="15.75" customHeight="1">
      <c r="A15" s="3">
        <v>0.3</v>
      </c>
      <c r="B15" s="4">
        <v>6.75</v>
      </c>
      <c r="C15" s="4">
        <v>4.5</v>
      </c>
      <c r="D15" s="4">
        <v>0.26500000000000001</v>
      </c>
      <c r="E15" s="4">
        <v>-0.23100000000000001</v>
      </c>
      <c r="F15" s="4">
        <v>-0.39800000000000002</v>
      </c>
      <c r="G15" s="4">
        <v>1.18</v>
      </c>
      <c r="H15" s="4">
        <v>1.88</v>
      </c>
      <c r="I15" s="13">
        <v>50</v>
      </c>
      <c r="J15" s="13">
        <v>587.1</v>
      </c>
      <c r="K15" s="2">
        <v>-2.5179999999999998</v>
      </c>
      <c r="L15" s="14">
        <v>1.601</v>
      </c>
      <c r="M15" s="14">
        <v>-0.89739999999999998</v>
      </c>
      <c r="N15" s="14">
        <v>-6.5600000000000006E-2</v>
      </c>
      <c r="O15" s="14">
        <v>2.4201000000000001</v>
      </c>
      <c r="P15" s="14">
        <v>4.9099999999999998E-2</v>
      </c>
      <c r="Q15" s="14">
        <v>-0.06</v>
      </c>
      <c r="R15" s="14">
        <v>1.0697000000000001</v>
      </c>
      <c r="S15" s="14">
        <v>-0.35</v>
      </c>
      <c r="T15" s="14">
        <v>0.9</v>
      </c>
      <c r="U15" s="14">
        <v>-5.7000000000000002E-3</v>
      </c>
      <c r="V15" s="2">
        <v>0.63</v>
      </c>
      <c r="W15" s="2">
        <v>0.52200000000000002</v>
      </c>
      <c r="X15" s="2">
        <v>0.61099999999999999</v>
      </c>
      <c r="Y15" s="2">
        <v>0.499</v>
      </c>
      <c r="Z15" s="2">
        <v>0.47899999999999998</v>
      </c>
      <c r="AA15" s="2">
        <v>0.33500000000000002</v>
      </c>
      <c r="AB15" s="2">
        <v>0.84099999999999997</v>
      </c>
    </row>
    <row r="16" spans="1:28" ht="15.75" customHeight="1">
      <c r="A16" s="3">
        <v>0.4</v>
      </c>
      <c r="B16" s="4">
        <v>6.75</v>
      </c>
      <c r="C16" s="4">
        <v>4.5</v>
      </c>
      <c r="D16" s="4">
        <v>0.26500000000000001</v>
      </c>
      <c r="E16" s="4">
        <v>-0.23100000000000001</v>
      </c>
      <c r="F16" s="4">
        <v>-0.39800000000000002</v>
      </c>
      <c r="G16" s="4">
        <v>1.18</v>
      </c>
      <c r="H16" s="4">
        <v>1.88</v>
      </c>
      <c r="I16" s="13">
        <v>50</v>
      </c>
      <c r="J16" s="13">
        <v>503</v>
      </c>
      <c r="K16" s="2">
        <v>-2.657</v>
      </c>
      <c r="L16" s="14">
        <v>1.5109999999999999</v>
      </c>
      <c r="M16" s="14">
        <v>-0.86770000000000003</v>
      </c>
      <c r="N16" s="14">
        <v>-8.0699999999999994E-2</v>
      </c>
      <c r="O16" s="14">
        <v>2.5510000000000002</v>
      </c>
      <c r="P16" s="14">
        <v>6.1899999999999997E-2</v>
      </c>
      <c r="Q16" s="14">
        <v>-0.06</v>
      </c>
      <c r="R16" s="14">
        <v>1.0287999999999999</v>
      </c>
      <c r="S16" s="14">
        <v>-0.35</v>
      </c>
      <c r="T16" s="14">
        <v>0.84230000000000005</v>
      </c>
      <c r="U16" s="14">
        <v>-3.8999999999999998E-3</v>
      </c>
      <c r="V16" s="2">
        <v>0.63</v>
      </c>
      <c r="W16" s="2">
        <v>0.52700000000000002</v>
      </c>
      <c r="X16" s="2">
        <v>0.60799999999999998</v>
      </c>
      <c r="Y16" s="2">
        <v>0.501</v>
      </c>
      <c r="Z16" s="2">
        <v>0.44900000000000001</v>
      </c>
      <c r="AA16" s="2">
        <v>0.33800000000000002</v>
      </c>
      <c r="AB16" s="2">
        <v>0.81799999999999995</v>
      </c>
    </row>
    <row r="17" spans="1:28" ht="15.75" customHeight="1">
      <c r="A17" s="3">
        <v>0.5</v>
      </c>
      <c r="B17" s="4">
        <v>6.75</v>
      </c>
      <c r="C17" s="4">
        <v>4.5</v>
      </c>
      <c r="D17" s="4">
        <v>0.26500000000000001</v>
      </c>
      <c r="E17" s="4">
        <v>-0.23100000000000001</v>
      </c>
      <c r="F17" s="4">
        <v>-0.39800000000000002</v>
      </c>
      <c r="G17" s="4">
        <v>1.18</v>
      </c>
      <c r="H17" s="4">
        <v>1.88</v>
      </c>
      <c r="I17" s="13">
        <v>50</v>
      </c>
      <c r="J17" s="13">
        <v>456.6</v>
      </c>
      <c r="K17" s="2">
        <v>-2.669</v>
      </c>
      <c r="L17" s="14">
        <v>1.397</v>
      </c>
      <c r="M17" s="14">
        <v>-0.84750000000000003</v>
      </c>
      <c r="N17" s="14">
        <v>-9.2399999999999996E-2</v>
      </c>
      <c r="O17" s="14">
        <v>2.5394999999999999</v>
      </c>
      <c r="P17" s="14">
        <v>7.1900000000000006E-2</v>
      </c>
      <c r="Q17" s="14">
        <v>-0.06</v>
      </c>
      <c r="R17" s="14">
        <v>0.99709999999999999</v>
      </c>
      <c r="S17" s="14">
        <v>-0.31909999999999999</v>
      </c>
      <c r="T17" s="14">
        <v>0.74580000000000002</v>
      </c>
      <c r="U17" s="14">
        <v>-2.5000000000000001E-3</v>
      </c>
      <c r="V17" s="2">
        <v>0.63</v>
      </c>
      <c r="W17" s="2">
        <v>0.53200000000000003</v>
      </c>
      <c r="X17" s="2">
        <v>0.60599999999999998</v>
      </c>
      <c r="Y17" s="2">
        <v>0.504</v>
      </c>
      <c r="Z17" s="2">
        <v>0.42599999999999999</v>
      </c>
      <c r="AA17" s="2">
        <v>0.34100000000000003</v>
      </c>
      <c r="AB17" s="2">
        <v>0.78300000000000003</v>
      </c>
    </row>
    <row r="18" spans="1:28" ht="15.75" customHeight="1">
      <c r="A18" s="3">
        <v>0.75</v>
      </c>
      <c r="B18" s="4">
        <v>6.75</v>
      </c>
      <c r="C18" s="4">
        <v>4.5</v>
      </c>
      <c r="D18" s="4">
        <v>0.26500000000000001</v>
      </c>
      <c r="E18" s="4">
        <v>-0.23100000000000001</v>
      </c>
      <c r="F18" s="4">
        <v>-0.39800000000000002</v>
      </c>
      <c r="G18" s="4">
        <v>1.18</v>
      </c>
      <c r="H18" s="4">
        <v>1.88</v>
      </c>
      <c r="I18" s="13">
        <v>50</v>
      </c>
      <c r="J18" s="13">
        <v>410.5</v>
      </c>
      <c r="K18" s="2">
        <v>-2.4009999999999998</v>
      </c>
      <c r="L18" s="14">
        <v>1.137</v>
      </c>
      <c r="M18" s="14">
        <v>-0.8206</v>
      </c>
      <c r="N18" s="14">
        <v>-0.1137</v>
      </c>
      <c r="O18" s="14">
        <v>2.1493000000000002</v>
      </c>
      <c r="P18" s="14">
        <v>0.08</v>
      </c>
      <c r="Q18" s="14">
        <v>-0.06</v>
      </c>
      <c r="R18" s="14">
        <v>0.9395</v>
      </c>
      <c r="S18" s="14">
        <v>-0.26290000000000002</v>
      </c>
      <c r="T18" s="14">
        <v>0.57040000000000002</v>
      </c>
      <c r="U18" s="14">
        <v>0</v>
      </c>
      <c r="V18" s="2">
        <v>0.63</v>
      </c>
      <c r="W18" s="2">
        <v>0.53900000000000003</v>
      </c>
      <c r="X18" s="2">
        <v>0.60199999999999998</v>
      </c>
      <c r="Y18" s="2">
        <v>0.50600000000000001</v>
      </c>
      <c r="Z18" s="2">
        <v>0.38500000000000001</v>
      </c>
      <c r="AA18" s="2">
        <v>0.34599999999999997</v>
      </c>
      <c r="AB18" s="2">
        <v>0.68</v>
      </c>
    </row>
    <row r="19" spans="1:28" ht="15.75" customHeight="1">
      <c r="A19" s="13">
        <v>1</v>
      </c>
      <c r="B19" s="4">
        <v>6.75</v>
      </c>
      <c r="C19" s="4">
        <v>4.5</v>
      </c>
      <c r="D19" s="4">
        <v>0.26500000000000001</v>
      </c>
      <c r="E19" s="4">
        <v>-0.23100000000000001</v>
      </c>
      <c r="F19" s="4">
        <v>-0.39800000000000002</v>
      </c>
      <c r="G19" s="4">
        <v>1.18</v>
      </c>
      <c r="H19" s="4">
        <v>1.88</v>
      </c>
      <c r="I19" s="13">
        <v>50</v>
      </c>
      <c r="J19" s="13">
        <v>400</v>
      </c>
      <c r="K19" s="2">
        <v>-1.9550000000000001</v>
      </c>
      <c r="L19" s="14">
        <v>0.91500000000000004</v>
      </c>
      <c r="M19" s="14">
        <v>-0.80879999999999996</v>
      </c>
      <c r="N19" s="14">
        <v>-0.12889999999999999</v>
      </c>
      <c r="O19" s="14">
        <v>1.5705</v>
      </c>
      <c r="P19" s="14">
        <v>0.08</v>
      </c>
      <c r="Q19" s="14">
        <v>-0.06</v>
      </c>
      <c r="R19" s="14">
        <v>0.89849999999999997</v>
      </c>
      <c r="S19" s="14">
        <v>-0.223</v>
      </c>
      <c r="T19" s="14">
        <v>0.44600000000000001</v>
      </c>
      <c r="U19" s="14">
        <v>0</v>
      </c>
      <c r="V19" s="2">
        <v>0.63</v>
      </c>
      <c r="W19" s="2">
        <v>0.54500000000000004</v>
      </c>
      <c r="X19" s="2">
        <v>0.59399999999999997</v>
      </c>
      <c r="Y19" s="2">
        <v>0.503</v>
      </c>
      <c r="Z19" s="2">
        <v>0.35</v>
      </c>
      <c r="AA19" s="2">
        <v>0.35</v>
      </c>
      <c r="AB19" s="2">
        <v>0.60699999999999998</v>
      </c>
    </row>
    <row r="20" spans="1:28" ht="15.75" customHeight="1">
      <c r="A20" s="13">
        <v>1.5</v>
      </c>
      <c r="B20" s="4">
        <v>6.75</v>
      </c>
      <c r="C20" s="4">
        <v>4.5</v>
      </c>
      <c r="D20" s="4">
        <v>0.26500000000000001</v>
      </c>
      <c r="E20" s="4">
        <v>-0.23100000000000001</v>
      </c>
      <c r="F20" s="4">
        <v>-0.39800000000000002</v>
      </c>
      <c r="G20" s="4">
        <v>1.18</v>
      </c>
      <c r="H20" s="4">
        <v>1.88</v>
      </c>
      <c r="I20" s="13">
        <v>50</v>
      </c>
      <c r="J20" s="13">
        <v>400</v>
      </c>
      <c r="K20" s="2">
        <v>-1.0249999999999999</v>
      </c>
      <c r="L20" s="14">
        <v>0.51</v>
      </c>
      <c r="M20" s="14">
        <v>-0.79949999999999999</v>
      </c>
      <c r="N20" s="14">
        <v>-0.15340000000000001</v>
      </c>
      <c r="O20" s="14">
        <v>0.39910000000000001</v>
      </c>
      <c r="P20" s="14">
        <v>0.08</v>
      </c>
      <c r="Q20" s="14">
        <v>-0.06</v>
      </c>
      <c r="R20" s="14">
        <v>0.84089999999999998</v>
      </c>
      <c r="S20" s="14">
        <v>-0.1668</v>
      </c>
      <c r="T20" s="14">
        <v>0.2707</v>
      </c>
      <c r="U20" s="14">
        <v>0</v>
      </c>
      <c r="V20" s="2">
        <v>0.61499999999999999</v>
      </c>
      <c r="W20" s="2">
        <v>0.55200000000000005</v>
      </c>
      <c r="X20" s="2">
        <v>0.56599999999999995</v>
      </c>
      <c r="Y20" s="2">
        <v>0.497</v>
      </c>
      <c r="Z20" s="2">
        <v>0.35</v>
      </c>
      <c r="AA20" s="2">
        <v>0.35</v>
      </c>
      <c r="AB20" s="2">
        <v>0.504</v>
      </c>
    </row>
    <row r="21" spans="1:28" ht="15.75" customHeight="1">
      <c r="A21" s="13">
        <v>2</v>
      </c>
      <c r="B21" s="4">
        <v>6.75</v>
      </c>
      <c r="C21" s="4">
        <v>4.5</v>
      </c>
      <c r="D21" s="4">
        <v>0.26500000000000001</v>
      </c>
      <c r="E21" s="4">
        <v>-0.23100000000000001</v>
      </c>
      <c r="F21" s="4">
        <v>-0.39800000000000002</v>
      </c>
      <c r="G21" s="4">
        <v>1.18</v>
      </c>
      <c r="H21" s="4">
        <v>1.88</v>
      </c>
      <c r="I21" s="13">
        <v>50</v>
      </c>
      <c r="J21" s="13">
        <v>400</v>
      </c>
      <c r="K21" s="2">
        <v>-0.29899999999999999</v>
      </c>
      <c r="L21" s="14">
        <v>0.192</v>
      </c>
      <c r="M21" s="14">
        <v>-0.79600000000000004</v>
      </c>
      <c r="N21" s="14">
        <v>-0.17080000000000001</v>
      </c>
      <c r="O21" s="14">
        <v>-0.60719999999999996</v>
      </c>
      <c r="P21" s="14">
        <v>0.08</v>
      </c>
      <c r="Q21" s="14">
        <v>-0.06</v>
      </c>
      <c r="R21" s="14">
        <v>0.8</v>
      </c>
      <c r="S21" s="14">
        <v>-0.127</v>
      </c>
      <c r="T21" s="14">
        <v>0.14630000000000001</v>
      </c>
      <c r="U21" s="14">
        <v>0</v>
      </c>
      <c r="V21" s="2">
        <v>0.60399999999999998</v>
      </c>
      <c r="W21" s="2">
        <v>0.55800000000000005</v>
      </c>
      <c r="X21" s="2">
        <v>0.54400000000000004</v>
      </c>
      <c r="Y21" s="2">
        <v>0.49099999999999999</v>
      </c>
      <c r="Z21" s="2">
        <v>0.35</v>
      </c>
      <c r="AA21" s="2">
        <v>0.35</v>
      </c>
      <c r="AB21" s="2">
        <v>0.43099999999999999</v>
      </c>
    </row>
    <row r="22" spans="1:28" ht="15.75" customHeight="1">
      <c r="A22" s="13">
        <v>3</v>
      </c>
      <c r="B22" s="4">
        <v>6.75</v>
      </c>
      <c r="C22" s="4">
        <v>4.5</v>
      </c>
      <c r="D22" s="4">
        <v>0.26500000000000001</v>
      </c>
      <c r="E22" s="4">
        <v>-0.23100000000000001</v>
      </c>
      <c r="F22" s="4">
        <v>-0.39800000000000002</v>
      </c>
      <c r="G22" s="4">
        <v>1.18</v>
      </c>
      <c r="H22" s="4">
        <v>1.88</v>
      </c>
      <c r="I22" s="13">
        <v>50</v>
      </c>
      <c r="J22" s="13">
        <v>400</v>
      </c>
      <c r="K22" s="2">
        <v>0</v>
      </c>
      <c r="L22" s="14">
        <v>-0.28000000000000003</v>
      </c>
      <c r="M22" s="14">
        <v>-0.79600000000000004</v>
      </c>
      <c r="N22" s="14">
        <v>-0.19539999999999999</v>
      </c>
      <c r="O22" s="14">
        <v>-0.96</v>
      </c>
      <c r="P22" s="14">
        <v>0.08</v>
      </c>
      <c r="Q22" s="14">
        <v>-0.06</v>
      </c>
      <c r="R22" s="14">
        <v>0.4793</v>
      </c>
      <c r="S22" s="14">
        <v>-7.0800000000000002E-2</v>
      </c>
      <c r="T22" s="14">
        <v>-2.9100000000000001E-2</v>
      </c>
      <c r="U22" s="14">
        <v>0</v>
      </c>
      <c r="V22" s="2">
        <v>0.58899999999999997</v>
      </c>
      <c r="W22" s="2">
        <v>0.56499999999999995</v>
      </c>
      <c r="X22" s="2">
        <v>0.52700000000000002</v>
      </c>
      <c r="Y22" s="2">
        <v>0.5</v>
      </c>
      <c r="Z22" s="2">
        <v>0.35</v>
      </c>
      <c r="AA22" s="2">
        <v>0.35</v>
      </c>
      <c r="AB22" s="2">
        <v>0.32800000000000001</v>
      </c>
    </row>
    <row r="23" spans="1:28" ht="15.75" customHeight="1">
      <c r="A23" s="13">
        <v>4</v>
      </c>
      <c r="B23" s="4">
        <v>6.75</v>
      </c>
      <c r="C23" s="4">
        <v>4.5</v>
      </c>
      <c r="D23" s="4">
        <v>0.26500000000000001</v>
      </c>
      <c r="E23" s="4">
        <v>-0.23100000000000001</v>
      </c>
      <c r="F23" s="4">
        <v>-0.39800000000000002</v>
      </c>
      <c r="G23" s="4">
        <v>1.18</v>
      </c>
      <c r="H23" s="4">
        <v>1.88</v>
      </c>
      <c r="I23" s="13">
        <v>50</v>
      </c>
      <c r="J23" s="13">
        <v>400</v>
      </c>
      <c r="K23" s="2">
        <v>0</v>
      </c>
      <c r="L23" s="14">
        <v>-0.63900000000000001</v>
      </c>
      <c r="M23" s="14">
        <v>-0.79600000000000004</v>
      </c>
      <c r="N23" s="14">
        <v>-0.21279999999999999</v>
      </c>
      <c r="O23" s="14">
        <v>-0.96</v>
      </c>
      <c r="P23" s="14">
        <v>0.08</v>
      </c>
      <c r="Q23" s="14">
        <v>-0.06</v>
      </c>
      <c r="R23" s="14">
        <v>0.25180000000000002</v>
      </c>
      <c r="S23" s="14">
        <v>-3.09E-2</v>
      </c>
      <c r="T23" s="14">
        <v>-0.1535</v>
      </c>
      <c r="U23" s="14">
        <v>0</v>
      </c>
      <c r="V23" s="2">
        <v>0.57799999999999996</v>
      </c>
      <c r="W23" s="2">
        <v>0.56999999999999995</v>
      </c>
      <c r="X23" s="2">
        <v>0.51500000000000001</v>
      </c>
      <c r="Y23" s="2">
        <v>0.505</v>
      </c>
      <c r="Z23" s="2">
        <v>0.35</v>
      </c>
      <c r="AA23" s="2">
        <v>0.35</v>
      </c>
      <c r="AB23" s="2">
        <v>0.255</v>
      </c>
    </row>
    <row r="24" spans="1:28" ht="15.75" customHeight="1">
      <c r="A24" s="13">
        <v>5</v>
      </c>
      <c r="B24" s="4">
        <v>6.75</v>
      </c>
      <c r="C24" s="4">
        <v>4.5</v>
      </c>
      <c r="D24" s="4">
        <v>0.26500000000000001</v>
      </c>
      <c r="E24" s="4">
        <v>-0.23100000000000001</v>
      </c>
      <c r="F24" s="4">
        <v>-0.39800000000000002</v>
      </c>
      <c r="G24" s="4">
        <v>1.18</v>
      </c>
      <c r="H24" s="4">
        <v>1.88</v>
      </c>
      <c r="I24" s="13">
        <v>50</v>
      </c>
      <c r="J24" s="13">
        <v>400</v>
      </c>
      <c r="K24" s="2">
        <v>0</v>
      </c>
      <c r="L24" s="14">
        <v>-0.93600000000000005</v>
      </c>
      <c r="M24" s="14">
        <v>-0.79600000000000004</v>
      </c>
      <c r="N24" s="14">
        <v>-0.2263</v>
      </c>
      <c r="O24" s="14">
        <v>-0.92079999999999995</v>
      </c>
      <c r="P24" s="14">
        <v>0.08</v>
      </c>
      <c r="Q24" s="14">
        <v>-0.06</v>
      </c>
      <c r="R24" s="14">
        <v>7.5399999999999995E-2</v>
      </c>
      <c r="S24" s="14">
        <v>0</v>
      </c>
      <c r="T24" s="14">
        <v>-0.25</v>
      </c>
      <c r="U24" s="14">
        <v>0</v>
      </c>
      <c r="V24" s="2">
        <v>0.56999999999999995</v>
      </c>
      <c r="W24" s="2">
        <v>0.58699999999999997</v>
      </c>
      <c r="X24" s="2">
        <v>0.51</v>
      </c>
      <c r="Y24" s="2">
        <v>0.52900000000000003</v>
      </c>
      <c r="Z24" s="2">
        <v>0.35</v>
      </c>
      <c r="AA24" s="2">
        <v>0.35</v>
      </c>
      <c r="AB24" s="2">
        <v>0.2</v>
      </c>
    </row>
    <row r="25" spans="1:28" ht="15.75" customHeight="1">
      <c r="A25" s="13">
        <v>7.5</v>
      </c>
      <c r="B25" s="4">
        <v>6.75</v>
      </c>
      <c r="C25" s="4">
        <v>4.5</v>
      </c>
      <c r="D25" s="4">
        <v>0.26500000000000001</v>
      </c>
      <c r="E25" s="4">
        <v>-0.23100000000000001</v>
      </c>
      <c r="F25" s="4">
        <v>-0.39800000000000002</v>
      </c>
      <c r="G25" s="4">
        <v>1.18</v>
      </c>
      <c r="H25" s="4">
        <v>1.88</v>
      </c>
      <c r="I25" s="13">
        <v>50</v>
      </c>
      <c r="J25" s="13">
        <v>400</v>
      </c>
      <c r="K25" s="2">
        <v>0</v>
      </c>
      <c r="L25" s="14">
        <v>-1.5269999999999999</v>
      </c>
      <c r="M25" s="14">
        <v>-0.79600000000000004</v>
      </c>
      <c r="N25" s="14">
        <v>-0.25090000000000001</v>
      </c>
      <c r="O25" s="14">
        <v>-0.77</v>
      </c>
      <c r="P25" s="14">
        <v>0.08</v>
      </c>
      <c r="Q25" s="14">
        <v>-0.06</v>
      </c>
      <c r="R25" s="14">
        <v>0</v>
      </c>
      <c r="S25" s="14">
        <v>0</v>
      </c>
      <c r="T25" s="14">
        <v>-0.25</v>
      </c>
      <c r="U25" s="14">
        <v>0</v>
      </c>
      <c r="V25" s="2">
        <v>0.61099999999999999</v>
      </c>
      <c r="W25" s="2">
        <v>0.61799999999999999</v>
      </c>
      <c r="X25" s="2">
        <v>0.57199999999999995</v>
      </c>
      <c r="Y25" s="2">
        <v>0.57899999999999996</v>
      </c>
      <c r="Z25" s="2">
        <v>0.35</v>
      </c>
      <c r="AA25" s="2">
        <v>0.35</v>
      </c>
      <c r="AB25" s="2">
        <v>0.2</v>
      </c>
    </row>
    <row r="26" spans="1:28" ht="15.75" customHeight="1">
      <c r="A26" s="13">
        <v>10</v>
      </c>
      <c r="B26" s="4">
        <v>6.75</v>
      </c>
      <c r="C26" s="4">
        <v>4.5</v>
      </c>
      <c r="D26" s="4">
        <v>0.26500000000000001</v>
      </c>
      <c r="E26" s="4">
        <v>-0.23100000000000001</v>
      </c>
      <c r="F26" s="4">
        <v>-0.39800000000000002</v>
      </c>
      <c r="G26" s="4">
        <v>1.18</v>
      </c>
      <c r="H26" s="4">
        <v>1.88</v>
      </c>
      <c r="I26" s="13">
        <v>50</v>
      </c>
      <c r="J26" s="13">
        <v>400</v>
      </c>
      <c r="K26" s="2">
        <v>0</v>
      </c>
      <c r="L26" s="14">
        <v>-1.9930000000000001</v>
      </c>
      <c r="M26" s="14">
        <v>-0.79600000000000004</v>
      </c>
      <c r="N26" s="14">
        <v>-0.26829999999999998</v>
      </c>
      <c r="O26" s="14">
        <v>-0.66300000000000003</v>
      </c>
      <c r="P26" s="14">
        <v>0.08</v>
      </c>
      <c r="Q26" s="14">
        <v>-0.06</v>
      </c>
      <c r="R26" s="14">
        <v>0</v>
      </c>
      <c r="S26" s="14">
        <v>0</v>
      </c>
      <c r="T26" s="14">
        <v>-0.25</v>
      </c>
      <c r="U26" s="14">
        <v>0</v>
      </c>
      <c r="V26" s="2">
        <v>0.64</v>
      </c>
      <c r="W26" s="2">
        <v>0.64</v>
      </c>
      <c r="X26" s="2">
        <v>0.61199999999999999</v>
      </c>
      <c r="Y26" s="2">
        <v>0.61199999999999999</v>
      </c>
      <c r="Z26" s="2">
        <v>0.35</v>
      </c>
      <c r="AA26" s="2">
        <v>0.35</v>
      </c>
      <c r="AB26" s="2">
        <v>0.2</v>
      </c>
    </row>
    <row r="27" spans="1:28" ht="15.75" customHeight="1">
      <c r="A27" s="13">
        <v>0</v>
      </c>
      <c r="B27" s="4">
        <v>6.75</v>
      </c>
      <c r="C27" s="4">
        <v>4.5</v>
      </c>
      <c r="D27" s="4">
        <v>0.26500000000000001</v>
      </c>
      <c r="E27" s="4">
        <v>-0.23100000000000001</v>
      </c>
      <c r="F27" s="4">
        <v>-0.39800000000000002</v>
      </c>
      <c r="G27" s="4">
        <v>1.18</v>
      </c>
      <c r="H27" s="4">
        <v>1.88</v>
      </c>
      <c r="I27" s="13">
        <v>50</v>
      </c>
      <c r="J27" s="13">
        <v>865.1</v>
      </c>
      <c r="K27" s="2">
        <v>-1.1859999999999999</v>
      </c>
      <c r="L27" s="14">
        <v>0.80400000000000005</v>
      </c>
      <c r="M27" s="14">
        <v>-0.96789999999999998</v>
      </c>
      <c r="N27" s="14">
        <v>-3.7199999999999997E-2</v>
      </c>
      <c r="O27" s="14">
        <v>0.94450000000000001</v>
      </c>
      <c r="P27" s="14">
        <v>0</v>
      </c>
      <c r="Q27" s="14">
        <v>-0.06</v>
      </c>
      <c r="R27" s="14">
        <v>1.08</v>
      </c>
      <c r="S27" s="14">
        <v>-0.35</v>
      </c>
      <c r="T27" s="14">
        <v>0.9</v>
      </c>
      <c r="U27" s="14">
        <v>-6.7000000000000002E-3</v>
      </c>
      <c r="V27" s="2">
        <v>0.59</v>
      </c>
      <c r="W27" s="2">
        <v>0.47</v>
      </c>
      <c r="X27" s="2">
        <v>0.57599999999999996</v>
      </c>
      <c r="Y27" s="2">
        <v>0.45300000000000001</v>
      </c>
      <c r="Z27" s="2">
        <v>0.47</v>
      </c>
      <c r="AA27" s="2">
        <v>0.3</v>
      </c>
      <c r="AB27" s="2">
        <v>1</v>
      </c>
    </row>
    <row r="28" spans="1:28" ht="15.75" customHeight="1">
      <c r="A28" s="13">
        <v>-1</v>
      </c>
      <c r="B28" s="4">
        <v>6.75</v>
      </c>
      <c r="C28" s="4">
        <v>4.5</v>
      </c>
      <c r="D28" s="4">
        <v>0.26500000000000001</v>
      </c>
      <c r="E28" s="4">
        <v>-0.23100000000000001</v>
      </c>
      <c r="F28" s="4">
        <v>-0.39800000000000002</v>
      </c>
      <c r="G28" s="4">
        <v>1.18</v>
      </c>
      <c r="H28" s="4">
        <v>1.88</v>
      </c>
      <c r="I28" s="13">
        <v>50</v>
      </c>
      <c r="J28" s="13">
        <v>400</v>
      </c>
      <c r="K28" s="2">
        <v>-1.9550000000000001</v>
      </c>
      <c r="L28" s="14">
        <v>5.7577999999999996</v>
      </c>
      <c r="M28" s="14">
        <v>-0.90459999999999996</v>
      </c>
      <c r="N28" s="14">
        <v>-0.12</v>
      </c>
      <c r="O28" s="14">
        <v>1.5389999999999999</v>
      </c>
      <c r="P28" s="14">
        <v>0.08</v>
      </c>
      <c r="Q28" s="14">
        <v>-0.06</v>
      </c>
      <c r="R28" s="14">
        <v>0.7</v>
      </c>
      <c r="S28" s="14">
        <v>-0.39</v>
      </c>
      <c r="T28" s="14">
        <v>0.63</v>
      </c>
      <c r="U28" s="14">
        <v>0</v>
      </c>
      <c r="V28" s="2">
        <v>0.59</v>
      </c>
      <c r="W28" s="2">
        <v>0.47</v>
      </c>
      <c r="X28" s="2">
        <v>0.57599999999999996</v>
      </c>
      <c r="Y28" s="2">
        <v>0.45300000000000001</v>
      </c>
      <c r="Z28" s="2">
        <v>0.42</v>
      </c>
      <c r="AA28" s="2">
        <v>0.3</v>
      </c>
      <c r="AB28" s="2">
        <v>0.74</v>
      </c>
    </row>
  </sheetData>
  <sheetProtection sheet="1" deleteColumns="0" deleteRows="0" sort="0"/>
  <mergeCells count="2">
    <mergeCell ref="V4:W4"/>
    <mergeCell ref="X4:Y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9"/>
  <sheetViews>
    <sheetView workbookViewId="0">
      <selection activeCell="K20" sqref="K20"/>
    </sheetView>
  </sheetViews>
  <sheetFormatPr defaultRowHeight="12.75"/>
  <cols>
    <col min="1" max="1" width="11.42578125" bestFit="1" customWidth="1"/>
    <col min="5" max="5" width="10.7109375" bestFit="1" customWidth="1"/>
    <col min="9" max="10" width="10.85546875" customWidth="1"/>
    <col min="11" max="11" width="10.85546875" bestFit="1" customWidth="1"/>
  </cols>
  <sheetData>
    <row r="1" spans="1:15" ht="15.75" customHeight="1">
      <c r="A1" s="15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ht="15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7"/>
    </row>
    <row r="3" spans="1:15" ht="15.75" customHeight="1">
      <c r="A3" s="1" t="s">
        <v>47</v>
      </c>
      <c r="B3" s="12"/>
      <c r="C3" s="105" t="s">
        <v>48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8"/>
    </row>
    <row r="4" spans="1:15" ht="15.75" customHeight="1">
      <c r="A4" s="16"/>
      <c r="B4" s="16"/>
      <c r="C4" s="16"/>
      <c r="D4" s="17"/>
      <c r="E4" s="17"/>
      <c r="F4" s="17"/>
      <c r="G4" s="17"/>
      <c r="H4" s="17"/>
      <c r="I4" s="17"/>
      <c r="J4" s="17"/>
      <c r="K4" s="17"/>
    </row>
    <row r="5" spans="1:15" ht="15.75" customHeight="1">
      <c r="A5" s="19" t="s">
        <v>30</v>
      </c>
      <c r="B5" s="12"/>
      <c r="C5" s="12" t="s">
        <v>32</v>
      </c>
      <c r="D5" s="20" t="s">
        <v>69</v>
      </c>
      <c r="E5" s="21" t="s">
        <v>70</v>
      </c>
      <c r="F5" s="20" t="s">
        <v>71</v>
      </c>
      <c r="G5" s="20" t="s">
        <v>72</v>
      </c>
      <c r="H5" s="20" t="s">
        <v>73</v>
      </c>
      <c r="I5" s="20" t="s">
        <v>74</v>
      </c>
      <c r="J5" s="20" t="s">
        <v>75</v>
      </c>
      <c r="K5" s="22" t="s">
        <v>33</v>
      </c>
      <c r="L5" s="23" t="s">
        <v>60</v>
      </c>
      <c r="M5" s="24" t="s">
        <v>29</v>
      </c>
      <c r="N5" s="52" t="s">
        <v>76</v>
      </c>
      <c r="O5" s="23"/>
    </row>
    <row r="6" spans="1:15" ht="15.75" customHeight="1">
      <c r="A6" s="25">
        <f>Main!$A$13</f>
        <v>8</v>
      </c>
      <c r="B6" s="17"/>
      <c r="C6" s="1" t="s">
        <v>49</v>
      </c>
      <c r="D6" s="26">
        <v>0.01</v>
      </c>
      <c r="E6" s="27">
        <f>IF(A$33&lt;'AS08 Coeffs'!J5,'AS08 Coeffs'!K5*A$54*(1/(A$54+'AS08 Coeffs'!H5*(MIN(A$33,$F6)/'AS08 Coeffs'!J5)^'AS08 Coeffs'!G5)-1/(A$54+'AS08 Coeffs'!H5)),0)</f>
        <v>-1.2862238202828986E-2</v>
      </c>
      <c r="F6" s="25">
        <f>IF(D6=-1,862,IF(D6&lt;=0.5,1500,IF(D6&lt;=1,EXP(8-0.795*LN(D6/0.21)),IF(D6&lt;2,EXP(6.76-0.297*LN(D6)),700))))</f>
        <v>1500</v>
      </c>
      <c r="G6" s="27">
        <f>IF(OR(D6&lt;0.35,A$33&gt;1000),0,IF(D6&lt;=2,-0.25*LN(A$33/1000)*LN(D6/0.35),-0.25*LN(A$33/1000)*LN(2/0.35)))</f>
        <v>0</v>
      </c>
      <c r="H6" s="27">
        <f>IF(A$33&gt;=1000,0,IF((('AS08 Coeffs'!O5+'AS08 Coeffs'!K5*'AS08 Coeffs'!G5)*LN(MIN(A$33,F6)/MIN(1000,F6))+G6*LN((A$36+'AS08 Coeffs'!I5)/(A$48+'AS08 Coeffs'!I5)))&lt;0,-('AS08 Coeffs'!O5+'AS08 Coeffs'!K5*'AS08 Coeffs'!G5)*LN(MIN(A$33,F6)/MIN(1000,F6))/LN((A$36+'AS08 Coeffs'!I5)/(A$48+'AS08 Coeffs'!I5)),G6))</f>
        <v>0</v>
      </c>
      <c r="I6" s="28">
        <f>EXP('AS08 Coeffs'!L5+IF(A$6&lt;='AS08 Coeffs'!B5,'AS08 Coeffs'!E5,'AS08 Coeffs'!F5)*(A$6-'AS08 Coeffs'!B5)+'AS08 Coeffs'!N5*(8.5-A$6)^2+('AS08 Coeffs'!M5+'AS08 Coeffs'!D5*(A$6-'AS08 Coeffs'!B5))*LN(SQRT(A$9^2+'AS08 Coeffs'!C5^2))+'AS08 Coeffs'!P5*A$18+'AS08 Coeffs'!Q5*A$21+'AS08 Coeffs'!S5*A$45+('AS08 Coeffs'!O5+'AS08 Coeffs'!K5*'AS08 Coeffs'!G5)*LN(MIN(1100,F6)/'AS08 Coeffs'!J5)+A$24*'AS08 Coeffs'!R5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Coeffs'!T5*A$27/10,'AS08 Coeffs'!T5)+IF(A$9&lt;100,0,'AS08 Coeffs'!U5*(A$9-100)*IF(A$6&lt;5.5,1,IF(A$6&lt;=6.5,0.5*(6.5-A$6)+0.5,0.5))))</f>
        <v>0.14594244890858793</v>
      </c>
      <c r="J6" s="28">
        <f>IF(AND(D6&lt;=A$51,D7&gt;A$51),1,0)*EXP(LN(I7/I6)/LN(D7/D6)*LN(A$51/D6)+LN(I6))</f>
        <v>0</v>
      </c>
      <c r="K6" s="28">
        <f>IF(D6&lt;=A$51,I6,SUM(J$6:J$26)*A$51^2/D6^2)*EXP(-('AS08 Coeffs'!O5+'AS08 Coeffs'!K5*'AS08 Coeffs'!G5)*LN(MIN(1100,F6)/'AS08 Coeffs'!J5)+IF(A$33&lt;'AS08 Coeffs'!J5,'AS08 Coeffs'!O5*LN(MIN(A$33,F6)/'AS08 Coeffs'!J5)-'AS08 Coeffs'!K5*LN(A$54+'AS08 Coeffs'!H5)+'AS08 Coeffs'!K5*LN(A$54+'AS08 Coeffs'!H5*(MIN(A$33,F6)/'AS08 Coeffs'!J5)^'AS08 Coeffs'!G5),('AS08 Coeffs'!O5+'AS08 Coeffs'!K5*'AS08 Coeffs'!G5)*LN(MIN(A$33,F6)/'AS08 Coeffs'!J5))+H6*LN((A$36+'AS08 Coeffs'!I5)/(A$48+'AS08 Coeffs'!I5))+IF(A$36&gt;=200,IF(D6&lt;2,0,0.0625*(D6-2))*LN(A$36/200),0))</f>
        <v>0.17029028771750671</v>
      </c>
      <c r="L6" s="14">
        <f>IF(A$42=0,SQRT(IF(A$6&lt;5,'AS08 Coeffs'!V5,IF(A$6&lt;=7,'AS08 Coeffs'!V5+('AS08 Coeffs'!W5-'AS08 Coeffs'!V5)*(A$6-5)/2,'AS08 Coeffs'!W5))^2+E6^2*(IF(A$6&lt;5,'AS08 Coeffs'!V$27,IF(A$6&lt;=7,'AS08 Coeffs'!V$27+('AS08 Coeffs'!W$27-'AS08 Coeffs'!V$27)*(A$6-5)/2,'AS08 Coeffs'!W$27))^2-0.3^2)+2*E6*SQRT(IF(A$6&lt;5,'AS08 Coeffs'!V5,IF(A$6&lt;=7,'AS08 Coeffs'!V5+('AS08 Coeffs'!W5-'AS08 Coeffs'!V5)*(A$6-5)/2,'AS08 Coeffs'!W5))^2-0.3^2)*SQRT(IF(A$6&lt;5,'AS08 Coeffs'!V$27,IF(A$6&lt;=7,'AS08 Coeffs'!V$27+('AS08 Coeffs'!W$27-'AS08 Coeffs'!V$27)*(A$6-5)/2,'AS08 Coeffs'!W$27))^2-0.3^2)*'AS08 Coeffs'!AB5),SQRT(IF(A$6&lt;5,'AS08 Coeffs'!X5,IF(A$6&lt;=7,'AS08 Coeffs'!X5+('AS08 Coeffs'!Y5-'AS08 Coeffs'!X5)*(A$6-5)/2,'AS08 Coeffs'!Y5))^2+E6^2*(IF(A$6&lt;5,'AS08 Coeffs'!X$27,IF(A$6&lt;=7,'AS08 Coeffs'!X$27+('AS08 Coeffs'!Y$27-'AS08 Coeffs'!X$27)*(A$6-5)/2,'AS08 Coeffs'!Y$27))^2-0.3^2)+2*E6*SQRT(IF(A$6&lt;5,'AS08 Coeffs'!X5,IF(A$6&lt;=7,'AS08 Coeffs'!X5+('AS08 Coeffs'!Y5-'AS08 Coeffs'!X5)*(A$6-5)/2,'AS08 Coeffs'!Y5))^2-0.3^2)*SQRT(IF(A$6&lt;5,'AS08 Coeffs'!X$27,IF(A$6&lt;=7,'AS08 Coeffs'!X$27+('AS08 Coeffs'!Y$27-'AS08 Coeffs'!X$27)*(A$6-5)/2,'AS08 Coeffs'!Y$27))^2-0.3^2)*'AS08 Coeffs'!AB5))</f>
        <v>0.44973811118125384</v>
      </c>
      <c r="M6" s="14">
        <f>SQRT(IF(A$6&lt;5,'AS08 Coeffs'!Z5,IF(A$6&lt;=7,'AS08 Coeffs'!Z5+('AS08 Coeffs'!AA5-'AS08 Coeffs'!Z5)*(A$6-5)/2,'AS08 Coeffs'!AA5))^2+E6^2*IF(A$6&lt;5,'AS08 Coeffs'!Z$27,IF(A$6&lt;=7,'AS08 Coeffs'!Z$27+('AS08 Coeffs'!AA$27-'AS08 Coeffs'!Z$27)*(A$6-5)/2,'AS08 Coeffs'!AA$27))^2+2*E6*IF(A$6&lt;5,'AS08 Coeffs'!Z5,IF(A$6&lt;=7,'AS08 Coeffs'!Z5+('AS08 Coeffs'!AA5-'AS08 Coeffs'!Z5)*(A$6-5)/2,'AS08 Coeffs'!AA5))*IF(A$6&lt;5,'AS08 Coeffs'!Z$27,IF(A$6&lt;=7,'AS08 Coeffs'!Z$27+('AS08 Coeffs'!AA$27-'AS08 Coeffs'!Z$27)*(A$6-5)/2,'AS08 Coeffs'!AA$27))*'AS08 Coeffs'!AB5)</f>
        <v>0.29614132853915132</v>
      </c>
      <c r="N6" s="14">
        <f>SQRT(L6^2+M6^2)</f>
        <v>0.53848310569396274</v>
      </c>
      <c r="O6" s="2"/>
    </row>
    <row r="7" spans="1:15" ht="15.75" customHeight="1">
      <c r="A7" s="25"/>
      <c r="B7" s="29"/>
      <c r="C7" s="1"/>
      <c r="D7" s="26">
        <v>0.02</v>
      </c>
      <c r="E7" s="27">
        <f>IF(A$33&lt;'AS08 Coeffs'!J6,'AS08 Coeffs'!K6*A$54*(1/(A$54+'AS08 Coeffs'!H6*(MIN(A$33,$F7)/'AS08 Coeffs'!J6)^'AS08 Coeffs'!G6)-1/(A$54+'AS08 Coeffs'!H6)),0)</f>
        <v>-1.3220125100546827E-2</v>
      </c>
      <c r="F7" s="25">
        <f t="shared" ref="F7:F27" si="0">IF(D7=-1,862,IF(D7&lt;=0.5,1500,IF(D7&lt;=1,EXP(8-0.795*LN(D7/0.21)),IF(D7&lt;2,EXP(6.76-0.297*LN(D7)),700))))</f>
        <v>1500</v>
      </c>
      <c r="G7" s="27">
        <f t="shared" ref="G7:G27" si="1">IF(OR(D7&lt;0.35,A$33&gt;1000),0,IF(D7&lt;=2,-0.25*LN(A$33/1000)*LN(D7/0.35),-0.25*LN(A$33/1000)*LN(2/0.35)))</f>
        <v>0</v>
      </c>
      <c r="H7" s="27">
        <f>IF(A$33&gt;=1000,0,IF((('AS08 Coeffs'!O6+'AS08 Coeffs'!K6*'AS08 Coeffs'!G6)*LN(MIN(A$33,F7)/MIN(1000,F7))+G7*LN((A$36+'AS08 Coeffs'!I6)/(A$48+'AS08 Coeffs'!I6)))&lt;0,-('AS08 Coeffs'!O6+'AS08 Coeffs'!K6*'AS08 Coeffs'!G6)*LN(MIN(A$33,F7)/MIN(1000,F7))/LN((A$36+'AS08 Coeffs'!I6)/(A$48+'AS08 Coeffs'!I6)),G7))</f>
        <v>0</v>
      </c>
      <c r="I7" s="28">
        <f>EXP('AS08 Coeffs'!L6+IF(A$6&lt;='AS08 Coeffs'!B6,'AS08 Coeffs'!E6,'AS08 Coeffs'!F6)*(A$6-'AS08 Coeffs'!B6)+'AS08 Coeffs'!N6*(8.5-A$6)^2+('AS08 Coeffs'!M6+'AS08 Coeffs'!D6*(A$6-'AS08 Coeffs'!B6))*LN(SQRT(A$9^2+'AS08 Coeffs'!C6^2))+'AS08 Coeffs'!P6*A$18+'AS08 Coeffs'!Q6*A$21+'AS08 Coeffs'!S6*A$45+('AS08 Coeffs'!O6+'AS08 Coeffs'!K6*'AS08 Coeffs'!G6)*LN(MIN(1100,F7)/'AS08 Coeffs'!J6)+A$24*'AS08 Coeffs'!R6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Coeffs'!T6*A$27/10,'AS08 Coeffs'!T6)+IF(A$9&lt;100,0,'AS08 Coeffs'!U6*(A$9-100)*IF(A$6&lt;5.5,1,IF(A$6&lt;=6.5,0.5*(6.5-A$6)+0.5,0.5))))</f>
        <v>0.14789047557257265</v>
      </c>
      <c r="J7" s="28">
        <f t="shared" ref="J7:J25" si="2">IF(AND(D7&lt;=A$51,D8&gt;A$51),1,0)*EXP(LN(I8/I7)/LN(D8/D7)*LN(A$51/D7)+LN(I7))</f>
        <v>0</v>
      </c>
      <c r="K7" s="28">
        <f>IF(D7&lt;=A$51,I7,SUM(J$6:J$26)*A$51^2/D7^2)*EXP(-('AS08 Coeffs'!O6+'AS08 Coeffs'!K6*'AS08 Coeffs'!G6)*LN(MIN(1100,F7)/'AS08 Coeffs'!J6)+IF(A$33&lt;'AS08 Coeffs'!J6,'AS08 Coeffs'!O6*LN(MIN(A$33,F7)/'AS08 Coeffs'!J6)-'AS08 Coeffs'!K6*LN(A$54+'AS08 Coeffs'!H6)+'AS08 Coeffs'!K6*LN(A$54+'AS08 Coeffs'!H6*(MIN(A$33,F7)/'AS08 Coeffs'!J6)^'AS08 Coeffs'!G6),('AS08 Coeffs'!O6+'AS08 Coeffs'!K6*'AS08 Coeffs'!G6)*LN(MIN(A$33,F7)/'AS08 Coeffs'!J6))+H7*LN((A$36+'AS08 Coeffs'!I6)/(A$48+'AS08 Coeffs'!I6))+IF(A$36&gt;=200,IF(D7&lt;2,0,0.0625*(D7-2))*LN(A$36/200),0))</f>
        <v>0.17249896084810443</v>
      </c>
      <c r="L7" s="14">
        <f>IF(A$42=0,SQRT(IF(A$6&lt;5,'AS08 Coeffs'!V6,IF(A$6&lt;=7,'AS08 Coeffs'!V6+('AS08 Coeffs'!W6-'AS08 Coeffs'!V6)*(A$6-5)/2,'AS08 Coeffs'!W6))^2+E7^2*(IF(A$6&lt;5,'AS08 Coeffs'!V$27,IF(A$6&lt;=7,'AS08 Coeffs'!V$27+('AS08 Coeffs'!W$27-'AS08 Coeffs'!V$27)*(A$6-5)/2,'AS08 Coeffs'!W$27))^2-0.3^2)+2*E7*SQRT(IF(A$6&lt;5,'AS08 Coeffs'!V6,IF(A$6&lt;=7,'AS08 Coeffs'!V6+('AS08 Coeffs'!W6-'AS08 Coeffs'!V6)*(A$6-5)/2,'AS08 Coeffs'!W6))^2-0.3^2)*SQRT(IF(A$6&lt;5,'AS08 Coeffs'!V$27,IF(A$6&lt;=7,'AS08 Coeffs'!V$27+('AS08 Coeffs'!W$27-'AS08 Coeffs'!V$27)*(A$6-5)/2,'AS08 Coeffs'!W$27))^2-0.3^2)*'AS08 Coeffs'!AB6),SQRT(IF(A$6&lt;5,'AS08 Coeffs'!X6,IF(A$6&lt;=7,'AS08 Coeffs'!X6+('AS08 Coeffs'!Y6-'AS08 Coeffs'!X6)*(A$6-5)/2,'AS08 Coeffs'!Y6))^2+E7^2*(IF(A$6&lt;5,'AS08 Coeffs'!X$27,IF(A$6&lt;=7,'AS08 Coeffs'!X$27+('AS08 Coeffs'!Y$27-'AS08 Coeffs'!X$27)*(A$6-5)/2,'AS08 Coeffs'!Y$27))^2-0.3^2)+2*E7*SQRT(IF(A$6&lt;5,'AS08 Coeffs'!X6,IF(A$6&lt;=7,'AS08 Coeffs'!X6+('AS08 Coeffs'!Y6-'AS08 Coeffs'!X6)*(A$6-5)/2,'AS08 Coeffs'!Y6))^2-0.3^2)*SQRT(IF(A$6&lt;5,'AS08 Coeffs'!X$27,IF(A$6&lt;=7,'AS08 Coeffs'!X$27+('AS08 Coeffs'!Y$27-'AS08 Coeffs'!X$27)*(A$6-5)/2,'AS08 Coeffs'!Y$27))^2-0.3^2)*'AS08 Coeffs'!AB6))</f>
        <v>0.44964761812807552</v>
      </c>
      <c r="M7" s="14">
        <f>SQRT(IF(A$6&lt;5,'AS08 Coeffs'!Z6,IF(A$6&lt;=7,'AS08 Coeffs'!Z6+('AS08 Coeffs'!AA6-'AS08 Coeffs'!Z6)*(A$6-5)/2,'AS08 Coeffs'!AA6))^2+E7^2*IF(A$6&lt;5,'AS08 Coeffs'!Z$27,IF(A$6&lt;=7,'AS08 Coeffs'!Z$27+('AS08 Coeffs'!AA$27-'AS08 Coeffs'!Z$27)*(A$6-5)/2,'AS08 Coeffs'!AA$27))^2+2*E7*IF(A$6&lt;5,'AS08 Coeffs'!Z6,IF(A$6&lt;=7,'AS08 Coeffs'!Z6+('AS08 Coeffs'!AA6-'AS08 Coeffs'!Z6)*(A$6-5)/2,'AS08 Coeffs'!AA6))*IF(A$6&lt;5,'AS08 Coeffs'!Z$27,IF(A$6&lt;=7,'AS08 Coeffs'!Z$27+('AS08 Coeffs'!AA$27-'AS08 Coeffs'!Z$27)*(A$6-5)/2,'AS08 Coeffs'!AA$27))*'AS08 Coeffs'!AB6)</f>
        <v>0.29603396246983599</v>
      </c>
      <c r="N7" s="14">
        <f t="shared" ref="N7:N30" si="3">SQRT(L7^2+M7^2)</f>
        <v>0.53834848139828895</v>
      </c>
      <c r="O7" s="2"/>
    </row>
    <row r="8" spans="1:15" ht="15.75" customHeight="1">
      <c r="A8" s="5" t="s">
        <v>77</v>
      </c>
      <c r="B8" s="12"/>
      <c r="C8" s="1"/>
      <c r="D8" s="26">
        <v>0.03</v>
      </c>
      <c r="E8" s="27">
        <f>IF(A$33&lt;'AS08 Coeffs'!J7,'AS08 Coeffs'!K7*A$54*(1/(A$54+'AS08 Coeffs'!H7*(MIN(A$33,$F8)/'AS08 Coeffs'!J7)^'AS08 Coeffs'!G7)-1/(A$54+'AS08 Coeffs'!H7)),0)</f>
        <v>-1.9410260442686154E-2</v>
      </c>
      <c r="F8" s="25">
        <f t="shared" si="0"/>
        <v>1500</v>
      </c>
      <c r="G8" s="27">
        <f t="shared" si="1"/>
        <v>0</v>
      </c>
      <c r="H8" s="27">
        <f>IF(A$33&gt;=1000,0,IF((('AS08 Coeffs'!O7+'AS08 Coeffs'!K7*'AS08 Coeffs'!G7)*LN(MIN(A$33,F8)/MIN(1000,F8))+G8*LN((A$36+'AS08 Coeffs'!I7)/(A$48+'AS08 Coeffs'!I7)))&lt;0,-('AS08 Coeffs'!O7+'AS08 Coeffs'!K7*'AS08 Coeffs'!G7)*LN(MIN(A$33,F8)/MIN(1000,F8))/LN((A$36+'AS08 Coeffs'!I7)/(A$48+'AS08 Coeffs'!I7)),G8))</f>
        <v>0</v>
      </c>
      <c r="I8" s="28">
        <f>EXP('AS08 Coeffs'!L7+IF(A$6&lt;='AS08 Coeffs'!B7,'AS08 Coeffs'!E7,'AS08 Coeffs'!F7)*(A$6-'AS08 Coeffs'!B7)+'AS08 Coeffs'!N7*(8.5-A$6)^2+('AS08 Coeffs'!M7+'AS08 Coeffs'!D7*(A$6-'AS08 Coeffs'!B7))*LN(SQRT(A$9^2+'AS08 Coeffs'!C7^2))+'AS08 Coeffs'!P7*A$18+'AS08 Coeffs'!Q7*A$21+'AS08 Coeffs'!S7*A$45+('AS08 Coeffs'!O7+'AS08 Coeffs'!K7*'AS08 Coeffs'!G7)*LN(MIN(1100,F8)/'AS08 Coeffs'!J7)+A$24*'AS08 Coeffs'!R7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Coeffs'!T7*A$27/10,'AS08 Coeffs'!T7)+IF(A$9&lt;100,0,'AS08 Coeffs'!U7*(A$9-100)*IF(A$6&lt;5.5,1,IF(A$6&lt;=6.5,0.5*(6.5-A$6)+0.5,0.5))))</f>
        <v>0.15516980863773397</v>
      </c>
      <c r="J8" s="28">
        <f t="shared" si="2"/>
        <v>0</v>
      </c>
      <c r="K8" s="28">
        <f>IF(D8&lt;=A$51,I8,SUM(J$6:J$26)*A$51^2/D8^2)*EXP(-('AS08 Coeffs'!O7+'AS08 Coeffs'!K7*'AS08 Coeffs'!G7)*LN(MIN(1100,F8)/'AS08 Coeffs'!J7)+IF(A$33&lt;'AS08 Coeffs'!J7,'AS08 Coeffs'!O7*LN(MIN(A$33,F8)/'AS08 Coeffs'!J7)-'AS08 Coeffs'!K7*LN(A$54+'AS08 Coeffs'!H7)+'AS08 Coeffs'!K7*LN(A$54+'AS08 Coeffs'!H7*(MIN(A$33,F8)/'AS08 Coeffs'!J7)^'AS08 Coeffs'!G7),('AS08 Coeffs'!O7+'AS08 Coeffs'!K7*'AS08 Coeffs'!G7)*LN(MIN(A$33,F8)/'AS08 Coeffs'!J7))+H8*LN((A$36+'AS08 Coeffs'!I7)/(A$48+'AS08 Coeffs'!I7))+IF(A$36&gt;=200,IF(D8&lt;2,0,0.0625*(D8-2))*LN(A$36/200),0))</f>
        <v>0.17977204246119741</v>
      </c>
      <c r="L8" s="14">
        <f>IF(A$42=0,SQRT(IF(A$6&lt;5,'AS08 Coeffs'!V7,IF(A$6&lt;=7,'AS08 Coeffs'!V7+('AS08 Coeffs'!W7-'AS08 Coeffs'!V7)*(A$6-5)/2,'AS08 Coeffs'!W7))^2+E8^2*(IF(A$6&lt;5,'AS08 Coeffs'!V$27,IF(A$6&lt;=7,'AS08 Coeffs'!V$27+('AS08 Coeffs'!W$27-'AS08 Coeffs'!V$27)*(A$6-5)/2,'AS08 Coeffs'!W$27))^2-0.3^2)+2*E8*SQRT(IF(A$6&lt;5,'AS08 Coeffs'!V7,IF(A$6&lt;=7,'AS08 Coeffs'!V7+('AS08 Coeffs'!W7-'AS08 Coeffs'!V7)*(A$6-5)/2,'AS08 Coeffs'!W7))^2-0.3^2)*SQRT(IF(A$6&lt;5,'AS08 Coeffs'!V$27,IF(A$6&lt;=7,'AS08 Coeffs'!V$27+('AS08 Coeffs'!W$27-'AS08 Coeffs'!V$27)*(A$6-5)/2,'AS08 Coeffs'!W$27))^2-0.3^2)*'AS08 Coeffs'!AB7),SQRT(IF(A$6&lt;5,'AS08 Coeffs'!X7,IF(A$6&lt;=7,'AS08 Coeffs'!X7+('AS08 Coeffs'!Y7-'AS08 Coeffs'!X7)*(A$6-5)/2,'AS08 Coeffs'!Y7))^2+E8^2*(IF(A$6&lt;5,'AS08 Coeffs'!X$27,IF(A$6&lt;=7,'AS08 Coeffs'!X$27+('AS08 Coeffs'!Y$27-'AS08 Coeffs'!X$27)*(A$6-5)/2,'AS08 Coeffs'!Y$27))^2-0.3^2)+2*E8*SQRT(IF(A$6&lt;5,'AS08 Coeffs'!X7,IF(A$6&lt;=7,'AS08 Coeffs'!X7+('AS08 Coeffs'!Y7-'AS08 Coeffs'!X7)*(A$6-5)/2,'AS08 Coeffs'!Y7))^2-0.3^2)*SQRT(IF(A$6&lt;5,'AS08 Coeffs'!X$27,IF(A$6&lt;=7,'AS08 Coeffs'!X$27+('AS08 Coeffs'!Y$27-'AS08 Coeffs'!X$27)*(A$6-5)/2,'AS08 Coeffs'!Y$27))^2-0.3^2)*'AS08 Coeffs'!AB7))</f>
        <v>0.45606326082971316</v>
      </c>
      <c r="M8" s="14">
        <f>SQRT(IF(A$6&lt;5,'AS08 Coeffs'!Z7,IF(A$6&lt;=7,'AS08 Coeffs'!Z7+('AS08 Coeffs'!AA7-'AS08 Coeffs'!Z7)*(A$6-5)/2,'AS08 Coeffs'!AA7))^2+E8^2*IF(A$6&lt;5,'AS08 Coeffs'!Z$27,IF(A$6&lt;=7,'AS08 Coeffs'!Z$27+('AS08 Coeffs'!AA$27-'AS08 Coeffs'!Z$27)*(A$6-5)/2,'AS08 Coeffs'!AA$27))^2+2*E8*IF(A$6&lt;5,'AS08 Coeffs'!Z7,IF(A$6&lt;=7,'AS08 Coeffs'!Z7+('AS08 Coeffs'!AA7-'AS08 Coeffs'!Z7)*(A$6-5)/2,'AS08 Coeffs'!AA7))*IF(A$6&lt;5,'AS08 Coeffs'!Z$27,IF(A$6&lt;=7,'AS08 Coeffs'!Z$27+('AS08 Coeffs'!AA$27-'AS08 Coeffs'!Z$27)*(A$6-5)/2,'AS08 Coeffs'!AA$27))*'AS08 Coeffs'!AB7)</f>
        <v>0.29923034484637129</v>
      </c>
      <c r="N8" s="14">
        <f t="shared" si="3"/>
        <v>0.54546539501191937</v>
      </c>
      <c r="O8" s="2"/>
    </row>
    <row r="9" spans="1:15" ht="15.75" customHeight="1">
      <c r="A9" s="25">
        <f>Main!$A$16</f>
        <v>25</v>
      </c>
      <c r="B9" s="17"/>
      <c r="C9" s="1"/>
      <c r="D9" s="26">
        <v>0.04</v>
      </c>
      <c r="E9" s="27">
        <f>IF(A$33&lt;'AS08 Coeffs'!J8,'AS08 Coeffs'!K8*A$54*(1/(A$54+'AS08 Coeffs'!H8*(MIN(A$33,$F9)/'AS08 Coeffs'!J8)^'AS08 Coeffs'!G8)-1/(A$54+'AS08 Coeffs'!H8)),0)</f>
        <v>-3.1613263159608107E-2</v>
      </c>
      <c r="F9" s="25">
        <f t="shared" si="0"/>
        <v>1500</v>
      </c>
      <c r="G9" s="27">
        <f t="shared" si="1"/>
        <v>0</v>
      </c>
      <c r="H9" s="27">
        <f>IF(A$33&gt;=1000,0,IF((('AS08 Coeffs'!O8+'AS08 Coeffs'!K8*'AS08 Coeffs'!G8)*LN(MIN(A$33,F9)/MIN(1000,F9))+G9*LN((A$36+'AS08 Coeffs'!I8)/(A$48+'AS08 Coeffs'!I8)))&lt;0,-('AS08 Coeffs'!O8+'AS08 Coeffs'!K8*'AS08 Coeffs'!G8)*LN(MIN(A$33,F9)/MIN(1000,F9))/LN((A$36+'AS08 Coeffs'!I8)/(A$48+'AS08 Coeffs'!I8)),G9))</f>
        <v>0</v>
      </c>
      <c r="I9" s="28">
        <f>EXP('AS08 Coeffs'!L8+IF(A$6&lt;='AS08 Coeffs'!B8,'AS08 Coeffs'!E8,'AS08 Coeffs'!F8)*(A$6-'AS08 Coeffs'!B8)+'AS08 Coeffs'!N8*(8.5-A$6)^2+('AS08 Coeffs'!M8+'AS08 Coeffs'!D8*(A$6-'AS08 Coeffs'!B8))*LN(SQRT(A$9^2+'AS08 Coeffs'!C8^2))+'AS08 Coeffs'!P8*A$18+'AS08 Coeffs'!Q8*A$21+'AS08 Coeffs'!S8*A$45+('AS08 Coeffs'!O8+'AS08 Coeffs'!K8*'AS08 Coeffs'!G8)*LN(MIN(1100,F9)/'AS08 Coeffs'!J8)+A$24*'AS08 Coeffs'!R8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Coeffs'!T8*A$27/10,'AS08 Coeffs'!T8)+IF(A$9&lt;100,0,'AS08 Coeffs'!U8*(A$9-100)*IF(A$6&lt;5.5,1,IF(A$6&lt;=6.5,0.5*(6.5-A$6)+0.5,0.5))))</f>
        <v>0.16024906928571506</v>
      </c>
      <c r="J9" s="28">
        <f t="shared" si="2"/>
        <v>0</v>
      </c>
      <c r="K9" s="28">
        <f>IF(D9&lt;=A$51,I9,SUM(J$6:J$26)*A$51^2/D9^2)*EXP(-('AS08 Coeffs'!O8+'AS08 Coeffs'!K8*'AS08 Coeffs'!G8)*LN(MIN(1100,F9)/'AS08 Coeffs'!J8)+IF(A$33&lt;'AS08 Coeffs'!J8,'AS08 Coeffs'!O8*LN(MIN(A$33,F9)/'AS08 Coeffs'!J8)-'AS08 Coeffs'!K8*LN(A$54+'AS08 Coeffs'!H8)+'AS08 Coeffs'!K8*LN(A$54+'AS08 Coeffs'!H8*(MIN(A$33,F9)/'AS08 Coeffs'!J8)^'AS08 Coeffs'!G8),('AS08 Coeffs'!O8+'AS08 Coeffs'!K8*'AS08 Coeffs'!G8)*LN(MIN(A$33,F9)/'AS08 Coeffs'!J8))+H9*LN((A$36+'AS08 Coeffs'!I8)/(A$48+'AS08 Coeffs'!I8))+IF(A$36&gt;=200,IF(D9&lt;2,0,0.0625*(D9-2))*LN(A$36/200),0))</f>
        <v>0.18318153888661823</v>
      </c>
      <c r="L9" s="14">
        <f>IF(A$42=0,SQRT(IF(A$6&lt;5,'AS08 Coeffs'!V8,IF(A$6&lt;=7,'AS08 Coeffs'!V8+('AS08 Coeffs'!W8-'AS08 Coeffs'!V8)*(A$6-5)/2,'AS08 Coeffs'!W8))^2+E9^2*(IF(A$6&lt;5,'AS08 Coeffs'!V$27,IF(A$6&lt;=7,'AS08 Coeffs'!V$27+('AS08 Coeffs'!W$27-'AS08 Coeffs'!V$27)*(A$6-5)/2,'AS08 Coeffs'!W$27))^2-0.3^2)+2*E9*SQRT(IF(A$6&lt;5,'AS08 Coeffs'!V8,IF(A$6&lt;=7,'AS08 Coeffs'!V8+('AS08 Coeffs'!W8-'AS08 Coeffs'!V8)*(A$6-5)/2,'AS08 Coeffs'!W8))^2-0.3^2)*SQRT(IF(A$6&lt;5,'AS08 Coeffs'!V$27,IF(A$6&lt;=7,'AS08 Coeffs'!V$27+('AS08 Coeffs'!W$27-'AS08 Coeffs'!V$27)*(A$6-5)/2,'AS08 Coeffs'!W$27))^2-0.3^2)*'AS08 Coeffs'!AB8),SQRT(IF(A$6&lt;5,'AS08 Coeffs'!X8,IF(A$6&lt;=7,'AS08 Coeffs'!X8+('AS08 Coeffs'!Y8-'AS08 Coeffs'!X8)*(A$6-5)/2,'AS08 Coeffs'!Y8))^2+E9^2*(IF(A$6&lt;5,'AS08 Coeffs'!X$27,IF(A$6&lt;=7,'AS08 Coeffs'!X$27+('AS08 Coeffs'!Y$27-'AS08 Coeffs'!X$27)*(A$6-5)/2,'AS08 Coeffs'!Y$27))^2-0.3^2)+2*E9*SQRT(IF(A$6&lt;5,'AS08 Coeffs'!X8,IF(A$6&lt;=7,'AS08 Coeffs'!X8+('AS08 Coeffs'!Y8-'AS08 Coeffs'!X8)*(A$6-5)/2,'AS08 Coeffs'!Y8))^2-0.3^2)*SQRT(IF(A$6&lt;5,'AS08 Coeffs'!X$27,IF(A$6&lt;=7,'AS08 Coeffs'!X$27+('AS08 Coeffs'!Y$27-'AS08 Coeffs'!X$27)*(A$6-5)/2,'AS08 Coeffs'!Y$27))^2-0.3^2)*'AS08 Coeffs'!AB8))</f>
        <v>0.45799154239176088</v>
      </c>
      <c r="M9" s="14">
        <f>SQRT(IF(A$6&lt;5,'AS08 Coeffs'!Z8,IF(A$6&lt;=7,'AS08 Coeffs'!Z8+('AS08 Coeffs'!AA8-'AS08 Coeffs'!Z8)*(A$6-5)/2,'AS08 Coeffs'!AA8))^2+E9^2*IF(A$6&lt;5,'AS08 Coeffs'!Z$27,IF(A$6&lt;=7,'AS08 Coeffs'!Z$27+('AS08 Coeffs'!AA$27-'AS08 Coeffs'!Z$27)*(A$6-5)/2,'AS08 Coeffs'!AA$27))^2+2*E9*IF(A$6&lt;5,'AS08 Coeffs'!Z8,IF(A$6&lt;=7,'AS08 Coeffs'!Z8+('AS08 Coeffs'!AA8-'AS08 Coeffs'!Z8)*(A$6-5)/2,'AS08 Coeffs'!AA8))*IF(A$6&lt;5,'AS08 Coeffs'!Z$27,IF(A$6&lt;=7,'AS08 Coeffs'!Z$27+('AS08 Coeffs'!AA$27-'AS08 Coeffs'!Z$27)*(A$6-5)/2,'AS08 Coeffs'!AA$27))*'AS08 Coeffs'!AB8)</f>
        <v>0.29969208639653594</v>
      </c>
      <c r="N9" s="14">
        <f t="shared" si="3"/>
        <v>0.54733134347586276</v>
      </c>
      <c r="O9" s="2"/>
    </row>
    <row r="10" spans="1:15" ht="15.75" customHeight="1">
      <c r="A10" s="25"/>
      <c r="B10" s="29"/>
      <c r="C10" s="1"/>
      <c r="D10" s="26">
        <v>0.05</v>
      </c>
      <c r="E10" s="27">
        <f>IF(A$33&lt;'AS08 Coeffs'!J9,'AS08 Coeffs'!K9*A$54*(1/(A$54+'AS08 Coeffs'!H9*(MIN(A$33,$F10)/'AS08 Coeffs'!J9)^'AS08 Coeffs'!G9)-1/(A$54+'AS08 Coeffs'!H9)),0)</f>
        <v>-4.0677211469217191E-2</v>
      </c>
      <c r="F10" s="25">
        <f t="shared" si="0"/>
        <v>1500</v>
      </c>
      <c r="G10" s="27">
        <f t="shared" si="1"/>
        <v>0</v>
      </c>
      <c r="H10" s="27">
        <f>IF(A$33&gt;=1000,0,IF((('AS08 Coeffs'!O9+'AS08 Coeffs'!K9*'AS08 Coeffs'!G9)*LN(MIN(A$33,F10)/MIN(1000,F10))+G10*LN((A$36+'AS08 Coeffs'!I9)/(A$48+'AS08 Coeffs'!I9)))&lt;0,-('AS08 Coeffs'!O9+'AS08 Coeffs'!K9*'AS08 Coeffs'!G9)*LN(MIN(A$33,F10)/MIN(1000,F10))/LN((A$36+'AS08 Coeffs'!I9)/(A$48+'AS08 Coeffs'!I9)),G10))</f>
        <v>0</v>
      </c>
      <c r="I10" s="28">
        <f>EXP('AS08 Coeffs'!L9+IF(A$6&lt;='AS08 Coeffs'!B9,'AS08 Coeffs'!E9,'AS08 Coeffs'!F9)*(A$6-'AS08 Coeffs'!B9)+'AS08 Coeffs'!N9*(8.5-A$6)^2+('AS08 Coeffs'!M9+'AS08 Coeffs'!D9*(A$6-'AS08 Coeffs'!B9))*LN(SQRT(A$9^2+'AS08 Coeffs'!C9^2))+'AS08 Coeffs'!P9*A$18+'AS08 Coeffs'!Q9*A$21+'AS08 Coeffs'!S9*A$45+('AS08 Coeffs'!O9+'AS08 Coeffs'!K9*'AS08 Coeffs'!G9)*LN(MIN(1100,F10)/'AS08 Coeffs'!J9)+A$24*'AS08 Coeffs'!R9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Coeffs'!T9*A$27/10,'AS08 Coeffs'!T9)+IF(A$9&lt;100,0,'AS08 Coeffs'!U9*(A$9-100)*IF(A$6&lt;5.5,1,IF(A$6&lt;=6.5,0.5*(6.5-A$6)+0.5,0.5))))</f>
        <v>0.16888444553454632</v>
      </c>
      <c r="J10" s="28">
        <f t="shared" si="2"/>
        <v>0</v>
      </c>
      <c r="K10" s="28">
        <f>IF(D10&lt;=A$51,I10,SUM(J$6:J$26)*A$51^2/D10^2)*EXP(-('AS08 Coeffs'!O9+'AS08 Coeffs'!K9*'AS08 Coeffs'!G9)*LN(MIN(1100,F10)/'AS08 Coeffs'!J9)+IF(A$33&lt;'AS08 Coeffs'!J9,'AS08 Coeffs'!O9*LN(MIN(A$33,F10)/'AS08 Coeffs'!J9)-'AS08 Coeffs'!K9*LN(A$54+'AS08 Coeffs'!H9)+'AS08 Coeffs'!K9*LN(A$54+'AS08 Coeffs'!H9*(MIN(A$33,F10)/'AS08 Coeffs'!J9)^'AS08 Coeffs'!G9),('AS08 Coeffs'!O9+'AS08 Coeffs'!K9*'AS08 Coeffs'!G9)*LN(MIN(A$33,F10)/'AS08 Coeffs'!J9))+H10*LN((A$36+'AS08 Coeffs'!I9)/(A$48+'AS08 Coeffs'!I9))+IF(A$36&gt;=200,IF(D10&lt;2,0,0.0625*(D10-2))*LN(A$36/200),0))</f>
        <v>0.19111978679367114</v>
      </c>
      <c r="L10" s="14">
        <f>IF(A$42=0,SQRT(IF(A$6&lt;5,'AS08 Coeffs'!V9,IF(A$6&lt;=7,'AS08 Coeffs'!V9+('AS08 Coeffs'!W9-'AS08 Coeffs'!V9)*(A$6-5)/2,'AS08 Coeffs'!W9))^2+E10^2*(IF(A$6&lt;5,'AS08 Coeffs'!V$27,IF(A$6&lt;=7,'AS08 Coeffs'!V$27+('AS08 Coeffs'!W$27-'AS08 Coeffs'!V$27)*(A$6-5)/2,'AS08 Coeffs'!W$27))^2-0.3^2)+2*E10*SQRT(IF(A$6&lt;5,'AS08 Coeffs'!V9,IF(A$6&lt;=7,'AS08 Coeffs'!V9+('AS08 Coeffs'!W9-'AS08 Coeffs'!V9)*(A$6-5)/2,'AS08 Coeffs'!W9))^2-0.3^2)*SQRT(IF(A$6&lt;5,'AS08 Coeffs'!V$27,IF(A$6&lt;=7,'AS08 Coeffs'!V$27+('AS08 Coeffs'!W$27-'AS08 Coeffs'!V$27)*(A$6-5)/2,'AS08 Coeffs'!W$27))^2-0.3^2)*'AS08 Coeffs'!AB9),SQRT(IF(A$6&lt;5,'AS08 Coeffs'!X9,IF(A$6&lt;=7,'AS08 Coeffs'!X9+('AS08 Coeffs'!Y9-'AS08 Coeffs'!X9)*(A$6-5)/2,'AS08 Coeffs'!Y9))^2+E10^2*(IF(A$6&lt;5,'AS08 Coeffs'!X$27,IF(A$6&lt;=7,'AS08 Coeffs'!X$27+('AS08 Coeffs'!Y$27-'AS08 Coeffs'!X$27)*(A$6-5)/2,'AS08 Coeffs'!Y$27))^2-0.3^2)+2*E10*SQRT(IF(A$6&lt;5,'AS08 Coeffs'!X9,IF(A$6&lt;=7,'AS08 Coeffs'!X9+('AS08 Coeffs'!Y9-'AS08 Coeffs'!X9)*(A$6-5)/2,'AS08 Coeffs'!Y9))^2-0.3^2)*SQRT(IF(A$6&lt;5,'AS08 Coeffs'!X$27,IF(A$6&lt;=7,'AS08 Coeffs'!X$27+('AS08 Coeffs'!Y$27-'AS08 Coeffs'!X$27)*(A$6-5)/2,'AS08 Coeffs'!Y$27))^2-0.3^2)*'AS08 Coeffs'!AB9))</f>
        <v>0.46073402153389387</v>
      </c>
      <c r="M10" s="14">
        <f>SQRT(IF(A$6&lt;5,'AS08 Coeffs'!Z9,IF(A$6&lt;=7,'AS08 Coeffs'!Z9+('AS08 Coeffs'!AA9-'AS08 Coeffs'!Z9)*(A$6-5)/2,'AS08 Coeffs'!AA9))^2+E10^2*IF(A$6&lt;5,'AS08 Coeffs'!Z$27,IF(A$6&lt;=7,'AS08 Coeffs'!Z$27+('AS08 Coeffs'!AA$27-'AS08 Coeffs'!Z$27)*(A$6-5)/2,'AS08 Coeffs'!AA$27))^2+2*E10*IF(A$6&lt;5,'AS08 Coeffs'!Z9,IF(A$6&lt;=7,'AS08 Coeffs'!Z9+('AS08 Coeffs'!AA9-'AS08 Coeffs'!Z9)*(A$6-5)/2,'AS08 Coeffs'!AA9))*IF(A$6&lt;5,'AS08 Coeffs'!Z$27,IF(A$6&lt;=7,'AS08 Coeffs'!Z$27+('AS08 Coeffs'!AA$27-'AS08 Coeffs'!Z$27)*(A$6-5)/2,'AS08 Coeffs'!AA$27))*'AS08 Coeffs'!AB9)</f>
        <v>0.30013953772966095</v>
      </c>
      <c r="N10" s="14">
        <f t="shared" si="3"/>
        <v>0.54987233128006097</v>
      </c>
      <c r="O10" s="2"/>
    </row>
    <row r="11" spans="1:15" ht="15.75" customHeight="1">
      <c r="A11" s="5" t="s">
        <v>78</v>
      </c>
      <c r="C11" s="1"/>
      <c r="D11" s="26">
        <v>7.4999999999999997E-2</v>
      </c>
      <c r="E11" s="27">
        <f>IF(A$33&lt;'AS08 Coeffs'!J10,'AS08 Coeffs'!K10*A$54*(1/(A$54+'AS08 Coeffs'!H10*(MIN(A$33,$F11)/'AS08 Coeffs'!J10)^'AS08 Coeffs'!G10)-1/(A$54+'AS08 Coeffs'!H10)),0)</f>
        <v>-4.9300892597732425E-2</v>
      </c>
      <c r="F11" s="25">
        <f t="shared" si="0"/>
        <v>1500</v>
      </c>
      <c r="G11" s="27">
        <f t="shared" si="1"/>
        <v>0</v>
      </c>
      <c r="H11" s="27">
        <f>IF(A$33&gt;=1000,0,IF((('AS08 Coeffs'!O10+'AS08 Coeffs'!K10*'AS08 Coeffs'!G10)*LN(MIN(A$33,F11)/MIN(1000,F11))+G11*LN((A$36+'AS08 Coeffs'!I10)/(A$48+'AS08 Coeffs'!I10)))&lt;0,-('AS08 Coeffs'!O10+'AS08 Coeffs'!K10*'AS08 Coeffs'!G10)*LN(MIN(A$33,F11)/MIN(1000,F11))/LN((A$36+'AS08 Coeffs'!I10)/(A$48+'AS08 Coeffs'!I10)),G11))</f>
        <v>0</v>
      </c>
      <c r="I11" s="28">
        <f>EXP('AS08 Coeffs'!L10+IF(A$6&lt;='AS08 Coeffs'!B10,'AS08 Coeffs'!E10,'AS08 Coeffs'!F10)*(A$6-'AS08 Coeffs'!B10)+'AS08 Coeffs'!N10*(8.5-A$6)^2+('AS08 Coeffs'!M10+'AS08 Coeffs'!D10*(A$6-'AS08 Coeffs'!B10))*LN(SQRT(A$9^2+'AS08 Coeffs'!C10^2))+'AS08 Coeffs'!P10*A$18+'AS08 Coeffs'!Q10*A$21+'AS08 Coeffs'!S10*A$45+('AS08 Coeffs'!O10+'AS08 Coeffs'!K10*'AS08 Coeffs'!G10)*LN(MIN(1100,F11)/'AS08 Coeffs'!J10)+A$24*'AS08 Coeffs'!R10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Coeffs'!T10*A$27/10,'AS08 Coeffs'!T10)+IF(A$9&lt;100,0,'AS08 Coeffs'!U10*(A$9-100)*IF(A$6&lt;5.5,1,IF(A$6&lt;=6.5,0.5*(6.5-A$6)+0.5,0.5))))</f>
        <v>0.19818902994384693</v>
      </c>
      <c r="J11" s="28">
        <f t="shared" si="2"/>
        <v>0</v>
      </c>
      <c r="K11" s="28">
        <f>IF(D11&lt;=A$51,I11,SUM(J$6:J$26)*A$51^2/D11^2)*EXP(-('AS08 Coeffs'!O10+'AS08 Coeffs'!K10*'AS08 Coeffs'!G10)*LN(MIN(1100,F11)/'AS08 Coeffs'!J10)+IF(A$33&lt;'AS08 Coeffs'!J10,'AS08 Coeffs'!O10*LN(MIN(A$33,F11)/'AS08 Coeffs'!J10)-'AS08 Coeffs'!K10*LN(A$54+'AS08 Coeffs'!H10)+'AS08 Coeffs'!K10*LN(A$54+'AS08 Coeffs'!H10*(MIN(A$33,F11)/'AS08 Coeffs'!J10)^'AS08 Coeffs'!G10),('AS08 Coeffs'!O10+'AS08 Coeffs'!K10*'AS08 Coeffs'!G10)*LN(MIN(A$33,F11)/'AS08 Coeffs'!J10))+H11*LN((A$36+'AS08 Coeffs'!I10)/(A$48+'AS08 Coeffs'!I10))+IF(A$36&gt;=200,IF(D11&lt;2,0,0.0625*(D11-2))*LN(A$36/200),0))</f>
        <v>0.2221527576958153</v>
      </c>
      <c r="L11" s="14">
        <f>IF(A$42=0,SQRT(IF(A$6&lt;5,'AS08 Coeffs'!V10,IF(A$6&lt;=7,'AS08 Coeffs'!V10+('AS08 Coeffs'!W10-'AS08 Coeffs'!V10)*(A$6-5)/2,'AS08 Coeffs'!W10))^2+E11^2*(IF(A$6&lt;5,'AS08 Coeffs'!V$27,IF(A$6&lt;=7,'AS08 Coeffs'!V$27+('AS08 Coeffs'!W$27-'AS08 Coeffs'!V$27)*(A$6-5)/2,'AS08 Coeffs'!W$27))^2-0.3^2)+2*E11*SQRT(IF(A$6&lt;5,'AS08 Coeffs'!V10,IF(A$6&lt;=7,'AS08 Coeffs'!V10+('AS08 Coeffs'!W10-'AS08 Coeffs'!V10)*(A$6-5)/2,'AS08 Coeffs'!W10))^2-0.3^2)*SQRT(IF(A$6&lt;5,'AS08 Coeffs'!V$27,IF(A$6&lt;=7,'AS08 Coeffs'!V$27+('AS08 Coeffs'!W$27-'AS08 Coeffs'!V$27)*(A$6-5)/2,'AS08 Coeffs'!W$27))^2-0.3^2)*'AS08 Coeffs'!AB10),SQRT(IF(A$6&lt;5,'AS08 Coeffs'!X10,IF(A$6&lt;=7,'AS08 Coeffs'!X10+('AS08 Coeffs'!Y10-'AS08 Coeffs'!X10)*(A$6-5)/2,'AS08 Coeffs'!Y10))^2+E11^2*(IF(A$6&lt;5,'AS08 Coeffs'!X$27,IF(A$6&lt;=7,'AS08 Coeffs'!X$27+('AS08 Coeffs'!Y$27-'AS08 Coeffs'!X$27)*(A$6-5)/2,'AS08 Coeffs'!Y$27))^2-0.3^2)+2*E11*SQRT(IF(A$6&lt;5,'AS08 Coeffs'!X10,IF(A$6&lt;=7,'AS08 Coeffs'!X10+('AS08 Coeffs'!Y10-'AS08 Coeffs'!X10)*(A$6-5)/2,'AS08 Coeffs'!Y10))^2-0.3^2)*SQRT(IF(A$6&lt;5,'AS08 Coeffs'!X$27,IF(A$6&lt;=7,'AS08 Coeffs'!X$27+('AS08 Coeffs'!Y$27-'AS08 Coeffs'!X$27)*(A$6-5)/2,'AS08 Coeffs'!Y$27))^2-0.3^2)*'AS08 Coeffs'!AB10))</f>
        <v>0.46671554748081673</v>
      </c>
      <c r="M11" s="14">
        <f>SQRT(IF(A$6&lt;5,'AS08 Coeffs'!Z10,IF(A$6&lt;=7,'AS08 Coeffs'!Z10+('AS08 Coeffs'!AA10-'AS08 Coeffs'!Z10)*(A$6-5)/2,'AS08 Coeffs'!AA10))^2+E11^2*IF(A$6&lt;5,'AS08 Coeffs'!Z$27,IF(A$6&lt;=7,'AS08 Coeffs'!Z$27+('AS08 Coeffs'!AA$27-'AS08 Coeffs'!Z$27)*(A$6-5)/2,'AS08 Coeffs'!AA$27))^2+2*E11*IF(A$6&lt;5,'AS08 Coeffs'!Z10,IF(A$6&lt;=7,'AS08 Coeffs'!Z10+('AS08 Coeffs'!AA10-'AS08 Coeffs'!Z10)*(A$6-5)/2,'AS08 Coeffs'!AA10))*IF(A$6&lt;5,'AS08 Coeffs'!Z$27,IF(A$6&lt;=7,'AS08 Coeffs'!Z$27+('AS08 Coeffs'!AA$27-'AS08 Coeffs'!Z$27)*(A$6-5)/2,'AS08 Coeffs'!AA$27))*'AS08 Coeffs'!AB10)</f>
        <v>0.30295349424945661</v>
      </c>
      <c r="N11" s="14">
        <f t="shared" si="3"/>
        <v>0.55642090357774487</v>
      </c>
      <c r="O11" s="2"/>
    </row>
    <row r="12" spans="1:15" ht="15.75" customHeight="1">
      <c r="A12" s="25">
        <f>Main!$A$19</f>
        <v>25</v>
      </c>
      <c r="B12" s="17"/>
      <c r="C12" s="1"/>
      <c r="D12" s="30">
        <v>0.1</v>
      </c>
      <c r="E12" s="27">
        <f>IF(A$33&lt;'AS08 Coeffs'!J11,'AS08 Coeffs'!K11*A$54*(1/(A$54+'AS08 Coeffs'!H11*(MIN(A$33,$F12)/'AS08 Coeffs'!J11)^'AS08 Coeffs'!G11)-1/(A$54+'AS08 Coeffs'!H11)),0)</f>
        <v>-4.5584016762609529E-2</v>
      </c>
      <c r="F12" s="25">
        <f t="shared" si="0"/>
        <v>1500</v>
      </c>
      <c r="G12" s="27">
        <f t="shared" si="1"/>
        <v>0</v>
      </c>
      <c r="H12" s="27">
        <f>IF(A$33&gt;=1000,0,IF((('AS08 Coeffs'!O11+'AS08 Coeffs'!K11*'AS08 Coeffs'!G11)*LN(MIN(A$33,F12)/MIN(1000,F12))+G12*LN((A$36+'AS08 Coeffs'!I11)/(A$48+'AS08 Coeffs'!I11)))&lt;0,-('AS08 Coeffs'!O11+'AS08 Coeffs'!K11*'AS08 Coeffs'!G11)*LN(MIN(A$33,F12)/MIN(1000,F12))/LN((A$36+'AS08 Coeffs'!I11)/(A$48+'AS08 Coeffs'!I11)),G12))</f>
        <v>0</v>
      </c>
      <c r="I12" s="28">
        <f>EXP('AS08 Coeffs'!L11+IF(A$6&lt;='AS08 Coeffs'!B11,'AS08 Coeffs'!E11,'AS08 Coeffs'!F11)*(A$6-'AS08 Coeffs'!B11)+'AS08 Coeffs'!N11*(8.5-A$6)^2+('AS08 Coeffs'!M11+'AS08 Coeffs'!D11*(A$6-'AS08 Coeffs'!B11))*LN(SQRT(A$9^2+'AS08 Coeffs'!C11^2))+'AS08 Coeffs'!P11*A$18+'AS08 Coeffs'!Q11*A$21+'AS08 Coeffs'!S11*A$45+('AS08 Coeffs'!O11+'AS08 Coeffs'!K11*'AS08 Coeffs'!G11)*LN(MIN(1100,F12)/'AS08 Coeffs'!J11)+A$24*'AS08 Coeffs'!R11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Coeffs'!T11*A$27/10,'AS08 Coeffs'!T11)+IF(A$9&lt;100,0,'AS08 Coeffs'!U11*(A$9-100)*IF(A$6&lt;5.5,1,IF(A$6&lt;=6.5,0.5*(6.5-A$6)+0.5,0.5))))</f>
        <v>0.2321873521710176</v>
      </c>
      <c r="J12" s="28">
        <f t="shared" si="2"/>
        <v>0</v>
      </c>
      <c r="K12" s="28">
        <f>IF(D12&lt;=A$51,I12,SUM(J$6:J$26)*A$51^2/D12^2)*EXP(-('AS08 Coeffs'!O11+'AS08 Coeffs'!K11*'AS08 Coeffs'!G11)*LN(MIN(1100,F12)/'AS08 Coeffs'!J11)+IF(A$33&lt;'AS08 Coeffs'!J11,'AS08 Coeffs'!O11*LN(MIN(A$33,F12)/'AS08 Coeffs'!J11)-'AS08 Coeffs'!K11*LN(A$54+'AS08 Coeffs'!H11)+'AS08 Coeffs'!K11*LN(A$54+'AS08 Coeffs'!H11*(MIN(A$33,F12)/'AS08 Coeffs'!J11)^'AS08 Coeffs'!G11),('AS08 Coeffs'!O11+'AS08 Coeffs'!K11*'AS08 Coeffs'!G11)*LN(MIN(A$33,F12)/'AS08 Coeffs'!J11))+H12*LN((A$36+'AS08 Coeffs'!I11)/(A$48+'AS08 Coeffs'!I11))+IF(A$36&gt;=200,IF(D12&lt;2,0,0.0625*(D12-2))*LN(A$36/200),0))</f>
        <v>0.26136853621096945</v>
      </c>
      <c r="L12" s="14">
        <f>IF(A$42=0,SQRT(IF(A$6&lt;5,'AS08 Coeffs'!V11,IF(A$6&lt;=7,'AS08 Coeffs'!V11+('AS08 Coeffs'!W11-'AS08 Coeffs'!V11)*(A$6-5)/2,'AS08 Coeffs'!W11))^2+E12^2*(IF(A$6&lt;5,'AS08 Coeffs'!V$27,IF(A$6&lt;=7,'AS08 Coeffs'!V$27+('AS08 Coeffs'!W$27-'AS08 Coeffs'!V$27)*(A$6-5)/2,'AS08 Coeffs'!W$27))^2-0.3^2)+2*E12*SQRT(IF(A$6&lt;5,'AS08 Coeffs'!V11,IF(A$6&lt;=7,'AS08 Coeffs'!V11+('AS08 Coeffs'!W11-'AS08 Coeffs'!V11)*(A$6-5)/2,'AS08 Coeffs'!W11))^2-0.3^2)*SQRT(IF(A$6&lt;5,'AS08 Coeffs'!V$27,IF(A$6&lt;=7,'AS08 Coeffs'!V$27+('AS08 Coeffs'!W$27-'AS08 Coeffs'!V$27)*(A$6-5)/2,'AS08 Coeffs'!W$27))^2-0.3^2)*'AS08 Coeffs'!AB11),SQRT(IF(A$6&lt;5,'AS08 Coeffs'!X11,IF(A$6&lt;=7,'AS08 Coeffs'!X11+('AS08 Coeffs'!Y11-'AS08 Coeffs'!X11)*(A$6-5)/2,'AS08 Coeffs'!Y11))^2+E12^2*(IF(A$6&lt;5,'AS08 Coeffs'!X$27,IF(A$6&lt;=7,'AS08 Coeffs'!X$27+('AS08 Coeffs'!Y$27-'AS08 Coeffs'!X$27)*(A$6-5)/2,'AS08 Coeffs'!Y$27))^2-0.3^2)+2*E12*SQRT(IF(A$6&lt;5,'AS08 Coeffs'!X11,IF(A$6&lt;=7,'AS08 Coeffs'!X11+('AS08 Coeffs'!Y11-'AS08 Coeffs'!X11)*(A$6-5)/2,'AS08 Coeffs'!Y11))^2-0.3^2)*SQRT(IF(A$6&lt;5,'AS08 Coeffs'!X$27,IF(A$6&lt;=7,'AS08 Coeffs'!X$27+('AS08 Coeffs'!Y$27-'AS08 Coeffs'!X$27)*(A$6-5)/2,'AS08 Coeffs'!Y$27))^2-0.3^2)*'AS08 Coeffs'!AB11))</f>
        <v>0.47382396043599789</v>
      </c>
      <c r="M12" s="14">
        <f>SQRT(IF(A$6&lt;5,'AS08 Coeffs'!Z11,IF(A$6&lt;=7,'AS08 Coeffs'!Z11+('AS08 Coeffs'!AA11-'AS08 Coeffs'!Z11)*(A$6-5)/2,'AS08 Coeffs'!AA11))^2+E12^2*IF(A$6&lt;5,'AS08 Coeffs'!Z$27,IF(A$6&lt;=7,'AS08 Coeffs'!Z$27+('AS08 Coeffs'!AA$27-'AS08 Coeffs'!Z$27)*(A$6-5)/2,'AS08 Coeffs'!AA$27))^2+2*E12*IF(A$6&lt;5,'AS08 Coeffs'!Z11,IF(A$6&lt;=7,'AS08 Coeffs'!Z11+('AS08 Coeffs'!AA11-'AS08 Coeffs'!Z11)*(A$6-5)/2,'AS08 Coeffs'!AA11))*IF(A$6&lt;5,'AS08 Coeffs'!Z$27,IF(A$6&lt;=7,'AS08 Coeffs'!Z$27+('AS08 Coeffs'!AA$27-'AS08 Coeffs'!Z$27)*(A$6-5)/2,'AS08 Coeffs'!AA$27))*'AS08 Coeffs'!AB11)</f>
        <v>0.30833727118161153</v>
      </c>
      <c r="N12" s="14">
        <f t="shared" si="3"/>
        <v>0.56531497263293562</v>
      </c>
      <c r="O12" s="2"/>
    </row>
    <row r="13" spans="1:15" ht="15.75" customHeight="1">
      <c r="A13" s="25"/>
      <c r="B13" s="17"/>
      <c r="C13" s="1"/>
      <c r="D13" s="30">
        <v>0.15</v>
      </c>
      <c r="E13" s="27">
        <f>IF(A$33&lt;'AS08 Coeffs'!J12,'AS08 Coeffs'!K12*A$54*(1/(A$54+'AS08 Coeffs'!H12*(MIN(A$33,$F13)/'AS08 Coeffs'!J12)^'AS08 Coeffs'!G12)-1/(A$54+'AS08 Coeffs'!H12)),0)</f>
        <v>-2.3431315381216764E-2</v>
      </c>
      <c r="F13" s="25">
        <f t="shared" si="0"/>
        <v>1500</v>
      </c>
      <c r="G13" s="27">
        <f t="shared" si="1"/>
        <v>0</v>
      </c>
      <c r="H13" s="27">
        <f>IF(A$33&gt;=1000,0,IF((('AS08 Coeffs'!O12+'AS08 Coeffs'!K12*'AS08 Coeffs'!G12)*LN(MIN(A$33,F13)/MIN(1000,F13))+G13*LN((A$36+'AS08 Coeffs'!I12)/(A$48+'AS08 Coeffs'!I12)))&lt;0,-('AS08 Coeffs'!O12+'AS08 Coeffs'!K12*'AS08 Coeffs'!G12)*LN(MIN(A$33,F13)/MIN(1000,F13))/LN((A$36+'AS08 Coeffs'!I12)/(A$48+'AS08 Coeffs'!I12)),G13))</f>
        <v>0</v>
      </c>
      <c r="I13" s="28">
        <f>EXP('AS08 Coeffs'!L12+IF(A$6&lt;='AS08 Coeffs'!B12,'AS08 Coeffs'!E12,'AS08 Coeffs'!F12)*(A$6-'AS08 Coeffs'!B12)+'AS08 Coeffs'!N12*(8.5-A$6)^2+('AS08 Coeffs'!M12+'AS08 Coeffs'!D12*(A$6-'AS08 Coeffs'!B12))*LN(SQRT(A$9^2+'AS08 Coeffs'!C12^2))+'AS08 Coeffs'!P12*A$18+'AS08 Coeffs'!Q12*A$21+'AS08 Coeffs'!S12*A$45+('AS08 Coeffs'!O12+'AS08 Coeffs'!K12*'AS08 Coeffs'!G12)*LN(MIN(1100,F13)/'AS08 Coeffs'!J12)+A$24*'AS08 Coeffs'!R12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Coeffs'!T12*A$27/10,'AS08 Coeffs'!T12)+IF(A$9&lt;100,0,'AS08 Coeffs'!U12*(A$9-100)*IF(A$6&lt;5.5,1,IF(A$6&lt;=6.5,0.5*(6.5-A$6)+0.5,0.5))))</f>
        <v>0.29138393403656115</v>
      </c>
      <c r="J13" s="28">
        <f t="shared" si="2"/>
        <v>0</v>
      </c>
      <c r="K13" s="28">
        <f>IF(D13&lt;=A$51,I13,SUM(J$6:J$26)*A$51^2/D13^2)*EXP(-('AS08 Coeffs'!O12+'AS08 Coeffs'!K12*'AS08 Coeffs'!G12)*LN(MIN(1100,F13)/'AS08 Coeffs'!J12)+IF(A$33&lt;'AS08 Coeffs'!J12,'AS08 Coeffs'!O12*LN(MIN(A$33,F13)/'AS08 Coeffs'!J12)-'AS08 Coeffs'!K12*LN(A$54+'AS08 Coeffs'!H12)+'AS08 Coeffs'!K12*LN(A$54+'AS08 Coeffs'!H12*(MIN(A$33,F13)/'AS08 Coeffs'!J12)^'AS08 Coeffs'!G12),('AS08 Coeffs'!O12+'AS08 Coeffs'!K12*'AS08 Coeffs'!G12)*LN(MIN(A$33,F13)/'AS08 Coeffs'!J12))+H13*LN((A$36+'AS08 Coeffs'!I12)/(A$48+'AS08 Coeffs'!I12))+IF(A$36&gt;=200,IF(D13&lt;2,0,0.0625*(D13-2))*LN(A$36/200),0))</f>
        <v>0.3381758868082409</v>
      </c>
      <c r="L13" s="14">
        <f>IF(A$42=0,SQRT(IF(A$6&lt;5,'AS08 Coeffs'!V12,IF(A$6&lt;=7,'AS08 Coeffs'!V12+('AS08 Coeffs'!W12-'AS08 Coeffs'!V12)*(A$6-5)/2,'AS08 Coeffs'!W12))^2+E13^2*(IF(A$6&lt;5,'AS08 Coeffs'!V$27,IF(A$6&lt;=7,'AS08 Coeffs'!V$27+('AS08 Coeffs'!W$27-'AS08 Coeffs'!V$27)*(A$6-5)/2,'AS08 Coeffs'!W$27))^2-0.3^2)+2*E13*SQRT(IF(A$6&lt;5,'AS08 Coeffs'!V12,IF(A$6&lt;=7,'AS08 Coeffs'!V12+('AS08 Coeffs'!W12-'AS08 Coeffs'!V12)*(A$6-5)/2,'AS08 Coeffs'!W12))^2-0.3^2)*SQRT(IF(A$6&lt;5,'AS08 Coeffs'!V$27,IF(A$6&lt;=7,'AS08 Coeffs'!V$27+('AS08 Coeffs'!W$27-'AS08 Coeffs'!V$27)*(A$6-5)/2,'AS08 Coeffs'!W$27))^2-0.3^2)*'AS08 Coeffs'!AB12),SQRT(IF(A$6&lt;5,'AS08 Coeffs'!X12,IF(A$6&lt;=7,'AS08 Coeffs'!X12+('AS08 Coeffs'!Y12-'AS08 Coeffs'!X12)*(A$6-5)/2,'AS08 Coeffs'!Y12))^2+E13^2*(IF(A$6&lt;5,'AS08 Coeffs'!X$27,IF(A$6&lt;=7,'AS08 Coeffs'!X$27+('AS08 Coeffs'!Y$27-'AS08 Coeffs'!X$27)*(A$6-5)/2,'AS08 Coeffs'!Y$27))^2-0.3^2)+2*E13*SQRT(IF(A$6&lt;5,'AS08 Coeffs'!X12,IF(A$6&lt;=7,'AS08 Coeffs'!X12+('AS08 Coeffs'!Y12-'AS08 Coeffs'!X12)*(A$6-5)/2,'AS08 Coeffs'!Y12))^2-0.3^2)*SQRT(IF(A$6&lt;5,'AS08 Coeffs'!X$27,IF(A$6&lt;=7,'AS08 Coeffs'!X$27+('AS08 Coeffs'!Y$27-'AS08 Coeffs'!X$27)*(A$6-5)/2,'AS08 Coeffs'!Y$27))^2-0.3^2)*'AS08 Coeffs'!AB12))</f>
        <v>0.48539117906104123</v>
      </c>
      <c r="M13" s="14">
        <f>SQRT(IF(A$6&lt;5,'AS08 Coeffs'!Z12,IF(A$6&lt;=7,'AS08 Coeffs'!Z12+('AS08 Coeffs'!AA12-'AS08 Coeffs'!Z12)*(A$6-5)/2,'AS08 Coeffs'!AA12))^2+E13^2*IF(A$6&lt;5,'AS08 Coeffs'!Z$27,IF(A$6&lt;=7,'AS08 Coeffs'!Z$27+('AS08 Coeffs'!AA$27-'AS08 Coeffs'!Z$27)*(A$6-5)/2,'AS08 Coeffs'!AA$27))^2+2*E13*IF(A$6&lt;5,'AS08 Coeffs'!Z12,IF(A$6&lt;=7,'AS08 Coeffs'!Z12+('AS08 Coeffs'!AA12-'AS08 Coeffs'!Z12)*(A$6-5)/2,'AS08 Coeffs'!AA12))*IF(A$6&lt;5,'AS08 Coeffs'!Z$27,IF(A$6&lt;=7,'AS08 Coeffs'!Z$27+('AS08 Coeffs'!AA$27-'AS08 Coeffs'!Z$27)*(A$6-5)/2,'AS08 Coeffs'!AA$27))*'AS08 Coeffs'!AB12)</f>
        <v>0.31971690022594884</v>
      </c>
      <c r="N13" s="14">
        <f t="shared" si="3"/>
        <v>0.58122585369231228</v>
      </c>
      <c r="O13" s="2"/>
    </row>
    <row r="14" spans="1:15" ht="15.75" customHeight="1">
      <c r="A14" s="5" t="s">
        <v>79</v>
      </c>
      <c r="C14" s="1"/>
      <c r="D14" s="30">
        <v>0.2</v>
      </c>
      <c r="E14" s="27">
        <f>IF(A$33&lt;'AS08 Coeffs'!J13,'AS08 Coeffs'!K13*A$54*(1/(A$54+'AS08 Coeffs'!H13*(MIN(A$33,$F14)/'AS08 Coeffs'!J13)^'AS08 Coeffs'!G13)-1/(A$54+'AS08 Coeffs'!H13)),0)</f>
        <v>0</v>
      </c>
      <c r="F14" s="25">
        <f t="shared" si="0"/>
        <v>1500</v>
      </c>
      <c r="G14" s="27">
        <f t="shared" si="1"/>
        <v>0</v>
      </c>
      <c r="H14" s="27">
        <f>IF(A$33&gt;=1000,0,IF((('AS08 Coeffs'!O13+'AS08 Coeffs'!K13*'AS08 Coeffs'!G13)*LN(MIN(A$33,F14)/MIN(1000,F14))+G14*LN((A$36+'AS08 Coeffs'!I13)/(A$48+'AS08 Coeffs'!I13)))&lt;0,-('AS08 Coeffs'!O13+'AS08 Coeffs'!K13*'AS08 Coeffs'!G13)*LN(MIN(A$33,F14)/MIN(1000,F14))/LN((A$36+'AS08 Coeffs'!I13)/(A$48+'AS08 Coeffs'!I13)),G14))</f>
        <v>0</v>
      </c>
      <c r="I14" s="28">
        <f>EXP('AS08 Coeffs'!L13+IF(A$6&lt;='AS08 Coeffs'!B13,'AS08 Coeffs'!E13,'AS08 Coeffs'!F13)*(A$6-'AS08 Coeffs'!B13)+'AS08 Coeffs'!N13*(8.5-A$6)^2+('AS08 Coeffs'!M13+'AS08 Coeffs'!D13*(A$6-'AS08 Coeffs'!B13))*LN(SQRT(A$9^2+'AS08 Coeffs'!C13^2))+'AS08 Coeffs'!P13*A$18+'AS08 Coeffs'!Q13*A$21+'AS08 Coeffs'!S13*A$45+('AS08 Coeffs'!O13+'AS08 Coeffs'!K13*'AS08 Coeffs'!G13)*LN(MIN(1100,F14)/'AS08 Coeffs'!J13)+A$24*'AS08 Coeffs'!R13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Coeffs'!T13*A$27/10,'AS08 Coeffs'!T13)+IF(A$9&lt;100,0,'AS08 Coeffs'!U13*(A$9-100)*IF(A$6&lt;5.5,1,IF(A$6&lt;=6.5,0.5*(6.5-A$6)+0.5,0.5))))</f>
        <v>0.31947129680377279</v>
      </c>
      <c r="J14" s="28">
        <f t="shared" si="2"/>
        <v>0</v>
      </c>
      <c r="K14" s="28">
        <f>IF(D14&lt;=A$51,I14,SUM(J$6:J$26)*A$51^2/D14^2)*EXP(-('AS08 Coeffs'!O13+'AS08 Coeffs'!K13*'AS08 Coeffs'!G13)*LN(MIN(1100,F14)/'AS08 Coeffs'!J13)+IF(A$33&lt;'AS08 Coeffs'!J13,'AS08 Coeffs'!O13*LN(MIN(A$33,F14)/'AS08 Coeffs'!J13)-'AS08 Coeffs'!K13*LN(A$54+'AS08 Coeffs'!H13)+'AS08 Coeffs'!K13*LN(A$54+'AS08 Coeffs'!H13*(MIN(A$33,F14)/'AS08 Coeffs'!J13)^'AS08 Coeffs'!G13),('AS08 Coeffs'!O13+'AS08 Coeffs'!K13*'AS08 Coeffs'!G13)*LN(MIN(A$33,F14)/'AS08 Coeffs'!J13))+H14*LN((A$36+'AS08 Coeffs'!I13)/(A$48+'AS08 Coeffs'!I13))+IF(A$36&gt;=200,IF(D14&lt;2,0,0.0625*(D14-2))*LN(A$36/200),0))</f>
        <v>0.38499086093347268</v>
      </c>
      <c r="L14" s="14">
        <f>IF(A$42=0,SQRT(IF(A$6&lt;5,'AS08 Coeffs'!V13,IF(A$6&lt;=7,'AS08 Coeffs'!V13+('AS08 Coeffs'!W13-'AS08 Coeffs'!V13)*(A$6-5)/2,'AS08 Coeffs'!W13))^2+E14^2*(IF(A$6&lt;5,'AS08 Coeffs'!V$27,IF(A$6&lt;=7,'AS08 Coeffs'!V$27+('AS08 Coeffs'!W$27-'AS08 Coeffs'!V$27)*(A$6-5)/2,'AS08 Coeffs'!W$27))^2-0.3^2)+2*E14*SQRT(IF(A$6&lt;5,'AS08 Coeffs'!V13,IF(A$6&lt;=7,'AS08 Coeffs'!V13+('AS08 Coeffs'!W13-'AS08 Coeffs'!V13)*(A$6-5)/2,'AS08 Coeffs'!W13))^2-0.3^2)*SQRT(IF(A$6&lt;5,'AS08 Coeffs'!V$27,IF(A$6&lt;=7,'AS08 Coeffs'!V$27+('AS08 Coeffs'!W$27-'AS08 Coeffs'!V$27)*(A$6-5)/2,'AS08 Coeffs'!W$27))^2-0.3^2)*'AS08 Coeffs'!AB13),SQRT(IF(A$6&lt;5,'AS08 Coeffs'!X13,IF(A$6&lt;=7,'AS08 Coeffs'!X13+('AS08 Coeffs'!Y13-'AS08 Coeffs'!X13)*(A$6-5)/2,'AS08 Coeffs'!Y13))^2+E14^2*(IF(A$6&lt;5,'AS08 Coeffs'!X$27,IF(A$6&lt;=7,'AS08 Coeffs'!X$27+('AS08 Coeffs'!Y$27-'AS08 Coeffs'!X$27)*(A$6-5)/2,'AS08 Coeffs'!Y$27))^2-0.3^2)+2*E14*SQRT(IF(A$6&lt;5,'AS08 Coeffs'!X13,IF(A$6&lt;=7,'AS08 Coeffs'!X13+('AS08 Coeffs'!Y13-'AS08 Coeffs'!X13)*(A$6-5)/2,'AS08 Coeffs'!Y13))^2-0.3^2)*SQRT(IF(A$6&lt;5,'AS08 Coeffs'!X$27,IF(A$6&lt;=7,'AS08 Coeffs'!X$27+('AS08 Coeffs'!Y$27-'AS08 Coeffs'!X$27)*(A$6-5)/2,'AS08 Coeffs'!Y$27))^2-0.3^2)*'AS08 Coeffs'!AB13))</f>
        <v>0.495</v>
      </c>
      <c r="M14" s="14">
        <f>SQRT(IF(A$6&lt;5,'AS08 Coeffs'!Z13,IF(A$6&lt;=7,'AS08 Coeffs'!Z13+('AS08 Coeffs'!AA13-'AS08 Coeffs'!Z13)*(A$6-5)/2,'AS08 Coeffs'!AA13))^2+E14^2*IF(A$6&lt;5,'AS08 Coeffs'!Z$27,IF(A$6&lt;=7,'AS08 Coeffs'!Z$27+('AS08 Coeffs'!AA$27-'AS08 Coeffs'!Z$27)*(A$6-5)/2,'AS08 Coeffs'!AA$27))^2+2*E14*IF(A$6&lt;5,'AS08 Coeffs'!Z13,IF(A$6&lt;=7,'AS08 Coeffs'!Z13+('AS08 Coeffs'!AA13-'AS08 Coeffs'!Z13)*(A$6-5)/2,'AS08 Coeffs'!AA13))*IF(A$6&lt;5,'AS08 Coeffs'!Z$27,IF(A$6&lt;=7,'AS08 Coeffs'!Z$27+('AS08 Coeffs'!AA$27-'AS08 Coeffs'!Z$27)*(A$6-5)/2,'AS08 Coeffs'!AA$27))*'AS08 Coeffs'!AB13)</f>
        <v>0.32900000000000001</v>
      </c>
      <c r="N14" s="14">
        <f t="shared" si="3"/>
        <v>0.59436184265142722</v>
      </c>
      <c r="O14" s="2"/>
    </row>
    <row r="15" spans="1:15" ht="15.75" customHeight="1">
      <c r="A15" s="25">
        <f>Main!$A$22</f>
        <v>25</v>
      </c>
      <c r="B15" s="17"/>
      <c r="C15" s="1"/>
      <c r="D15" s="30">
        <v>0.25</v>
      </c>
      <c r="E15" s="27">
        <f>IF(A$33&lt;'AS08 Coeffs'!J14,'AS08 Coeffs'!K14*A$54*(1/(A$54+'AS08 Coeffs'!H14*(MIN(A$33,$F15)/'AS08 Coeffs'!J14)^'AS08 Coeffs'!G14)-1/(A$54+'AS08 Coeffs'!H14)),0)</f>
        <v>0</v>
      </c>
      <c r="F15" s="25">
        <f t="shared" si="0"/>
        <v>1500</v>
      </c>
      <c r="G15" s="27">
        <f t="shared" si="1"/>
        <v>0</v>
      </c>
      <c r="H15" s="27">
        <f>IF(A$33&gt;=1000,0,IF((('AS08 Coeffs'!O14+'AS08 Coeffs'!K14*'AS08 Coeffs'!G14)*LN(MIN(A$33,F15)/MIN(1000,F15))+G15*LN((A$36+'AS08 Coeffs'!I14)/(A$48+'AS08 Coeffs'!I14)))&lt;0,-('AS08 Coeffs'!O14+'AS08 Coeffs'!K14*'AS08 Coeffs'!G14)*LN(MIN(A$33,F15)/MIN(1000,F15))/LN((A$36+'AS08 Coeffs'!I14)/(A$48+'AS08 Coeffs'!I14)),G15))</f>
        <v>0</v>
      </c>
      <c r="I15" s="28">
        <f>EXP('AS08 Coeffs'!L14+IF(A$6&lt;='AS08 Coeffs'!B14,'AS08 Coeffs'!E14,'AS08 Coeffs'!F14)*(A$6-'AS08 Coeffs'!B14)+'AS08 Coeffs'!N14*(8.5-A$6)^2+('AS08 Coeffs'!M14+'AS08 Coeffs'!D14*(A$6-'AS08 Coeffs'!B14))*LN(SQRT(A$9^2+'AS08 Coeffs'!C14^2))+'AS08 Coeffs'!P14*A$18+'AS08 Coeffs'!Q14*A$21+'AS08 Coeffs'!S14*A$45+('AS08 Coeffs'!O14+'AS08 Coeffs'!K14*'AS08 Coeffs'!G14)*LN(MIN(1100,F15)/'AS08 Coeffs'!J14)+A$24*'AS08 Coeffs'!R14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Coeffs'!T14*A$27/10,'AS08 Coeffs'!T14)+IF(A$9&lt;100,0,'AS08 Coeffs'!U14*(A$9-100)*IF(A$6&lt;5.5,1,IF(A$6&lt;=6.5,0.5*(6.5-A$6)+0.5,0.5))))</f>
        <v>0.33102881738999884</v>
      </c>
      <c r="J15" s="28">
        <f t="shared" si="2"/>
        <v>0</v>
      </c>
      <c r="K15" s="28">
        <f>IF(D15&lt;=A$51,I15,SUM(J$6:J$26)*A$51^2/D15^2)*EXP(-('AS08 Coeffs'!O14+'AS08 Coeffs'!K14*'AS08 Coeffs'!G14)*LN(MIN(1100,F15)/'AS08 Coeffs'!J14)+IF(A$33&lt;'AS08 Coeffs'!J14,'AS08 Coeffs'!O14*LN(MIN(A$33,F15)/'AS08 Coeffs'!J14)-'AS08 Coeffs'!K14*LN(A$54+'AS08 Coeffs'!H14)+'AS08 Coeffs'!K14*LN(A$54+'AS08 Coeffs'!H14*(MIN(A$33,F15)/'AS08 Coeffs'!J14)^'AS08 Coeffs'!G14),('AS08 Coeffs'!O14+'AS08 Coeffs'!K14*'AS08 Coeffs'!G14)*LN(MIN(A$33,F15)/'AS08 Coeffs'!J14))+H15*LN((A$36+'AS08 Coeffs'!I14)/(A$48+'AS08 Coeffs'!I14))+IF(A$36&gt;=200,IF(D15&lt;2,0,0.0625*(D15-2))*LN(A$36/200),0))</f>
        <v>0.40271854206942748</v>
      </c>
      <c r="L15" s="14">
        <f>IF(A$42=0,SQRT(IF(A$6&lt;5,'AS08 Coeffs'!V14,IF(A$6&lt;=7,'AS08 Coeffs'!V14+('AS08 Coeffs'!W14-'AS08 Coeffs'!V14)*(A$6-5)/2,'AS08 Coeffs'!W14))^2+E15^2*(IF(A$6&lt;5,'AS08 Coeffs'!V$27,IF(A$6&lt;=7,'AS08 Coeffs'!V$27+('AS08 Coeffs'!W$27-'AS08 Coeffs'!V$27)*(A$6-5)/2,'AS08 Coeffs'!W$27))^2-0.3^2)+2*E15*SQRT(IF(A$6&lt;5,'AS08 Coeffs'!V14,IF(A$6&lt;=7,'AS08 Coeffs'!V14+('AS08 Coeffs'!W14-'AS08 Coeffs'!V14)*(A$6-5)/2,'AS08 Coeffs'!W14))^2-0.3^2)*SQRT(IF(A$6&lt;5,'AS08 Coeffs'!V$27,IF(A$6&lt;=7,'AS08 Coeffs'!V$27+('AS08 Coeffs'!W$27-'AS08 Coeffs'!V$27)*(A$6-5)/2,'AS08 Coeffs'!W$27))^2-0.3^2)*'AS08 Coeffs'!AB14),SQRT(IF(A$6&lt;5,'AS08 Coeffs'!X14,IF(A$6&lt;=7,'AS08 Coeffs'!X14+('AS08 Coeffs'!Y14-'AS08 Coeffs'!X14)*(A$6-5)/2,'AS08 Coeffs'!Y14))^2+E15^2*(IF(A$6&lt;5,'AS08 Coeffs'!X$27,IF(A$6&lt;=7,'AS08 Coeffs'!X$27+('AS08 Coeffs'!Y$27-'AS08 Coeffs'!X$27)*(A$6-5)/2,'AS08 Coeffs'!Y$27))^2-0.3^2)+2*E15*SQRT(IF(A$6&lt;5,'AS08 Coeffs'!X14,IF(A$6&lt;=7,'AS08 Coeffs'!X14+('AS08 Coeffs'!Y14-'AS08 Coeffs'!X14)*(A$6-5)/2,'AS08 Coeffs'!Y14))^2-0.3^2)*SQRT(IF(A$6&lt;5,'AS08 Coeffs'!X$27,IF(A$6&lt;=7,'AS08 Coeffs'!X$27+('AS08 Coeffs'!Y$27-'AS08 Coeffs'!X$27)*(A$6-5)/2,'AS08 Coeffs'!Y$27))^2-0.3^2)*'AS08 Coeffs'!AB14))</f>
        <v>0.497</v>
      </c>
      <c r="M15" s="14">
        <f>SQRT(IF(A$6&lt;5,'AS08 Coeffs'!Z14,IF(A$6&lt;=7,'AS08 Coeffs'!Z14+('AS08 Coeffs'!AA14-'AS08 Coeffs'!Z14)*(A$6-5)/2,'AS08 Coeffs'!AA14))^2+E15^2*IF(A$6&lt;5,'AS08 Coeffs'!Z$27,IF(A$6&lt;=7,'AS08 Coeffs'!Z$27+('AS08 Coeffs'!AA$27-'AS08 Coeffs'!Z$27)*(A$6-5)/2,'AS08 Coeffs'!AA$27))^2+2*E15*IF(A$6&lt;5,'AS08 Coeffs'!Z14,IF(A$6&lt;=7,'AS08 Coeffs'!Z14+('AS08 Coeffs'!AA14-'AS08 Coeffs'!Z14)*(A$6-5)/2,'AS08 Coeffs'!AA14))*IF(A$6&lt;5,'AS08 Coeffs'!Z$27,IF(A$6&lt;=7,'AS08 Coeffs'!Z$27+('AS08 Coeffs'!AA$27-'AS08 Coeffs'!Z$27)*(A$6-5)/2,'AS08 Coeffs'!AA$27))*'AS08 Coeffs'!AB14)</f>
        <v>0.33200000000000002</v>
      </c>
      <c r="N15" s="14">
        <f t="shared" si="3"/>
        <v>0.59768971883411215</v>
      </c>
      <c r="O15" s="2"/>
    </row>
    <row r="16" spans="1:15" ht="15.75" customHeight="1">
      <c r="A16" s="16"/>
      <c r="B16" s="16"/>
      <c r="C16" s="1"/>
      <c r="D16" s="30">
        <v>0.3</v>
      </c>
      <c r="E16" s="27">
        <f>IF(A$33&lt;'AS08 Coeffs'!J15,'AS08 Coeffs'!K15*A$54*(1/(A$54+'AS08 Coeffs'!H15*(MIN(A$33,$F16)/'AS08 Coeffs'!J15)^'AS08 Coeffs'!G15)-1/(A$54+'AS08 Coeffs'!H15)),0)</f>
        <v>0</v>
      </c>
      <c r="F16" s="25">
        <f t="shared" si="0"/>
        <v>1500</v>
      </c>
      <c r="G16" s="27">
        <f t="shared" si="1"/>
        <v>0</v>
      </c>
      <c r="H16" s="27">
        <f>IF(A$33&gt;=1000,0,IF((('AS08 Coeffs'!O15+'AS08 Coeffs'!K15*'AS08 Coeffs'!G15)*LN(MIN(A$33,F16)/MIN(1000,F16))+G16*LN((A$36+'AS08 Coeffs'!I15)/(A$48+'AS08 Coeffs'!I15)))&lt;0,-('AS08 Coeffs'!O15+'AS08 Coeffs'!K15*'AS08 Coeffs'!G15)*LN(MIN(A$33,F16)/MIN(1000,F16))/LN((A$36+'AS08 Coeffs'!I15)/(A$48+'AS08 Coeffs'!I15)),G16))</f>
        <v>0</v>
      </c>
      <c r="I16" s="28">
        <f>EXP('AS08 Coeffs'!L15+IF(A$6&lt;='AS08 Coeffs'!B15,'AS08 Coeffs'!E15,'AS08 Coeffs'!F15)*(A$6-'AS08 Coeffs'!B15)+'AS08 Coeffs'!N15*(8.5-A$6)^2+('AS08 Coeffs'!M15+'AS08 Coeffs'!D15*(A$6-'AS08 Coeffs'!B15))*LN(SQRT(A$9^2+'AS08 Coeffs'!C15^2))+'AS08 Coeffs'!P15*A$18+'AS08 Coeffs'!Q15*A$21+'AS08 Coeffs'!S15*A$45+('AS08 Coeffs'!O15+'AS08 Coeffs'!K15*'AS08 Coeffs'!G15)*LN(MIN(1100,F16)/'AS08 Coeffs'!J15)+A$24*'AS08 Coeffs'!R15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Coeffs'!T15*A$27/10,'AS08 Coeffs'!T15)+IF(A$9&lt;100,0,'AS08 Coeffs'!U15*(A$9-100)*IF(A$6&lt;5.5,1,IF(A$6&lt;=6.5,0.5*(6.5-A$6)+0.5,0.5))))</f>
        <v>0.31653002824004822</v>
      </c>
      <c r="J16" s="28">
        <f t="shared" si="2"/>
        <v>0</v>
      </c>
      <c r="K16" s="28">
        <f>IF(D16&lt;=A$51,I16,SUM(J$6:J$26)*A$51^2/D16^2)*EXP(-('AS08 Coeffs'!O15+'AS08 Coeffs'!K15*'AS08 Coeffs'!G15)*LN(MIN(1100,F16)/'AS08 Coeffs'!J15)+IF(A$33&lt;'AS08 Coeffs'!J15,'AS08 Coeffs'!O15*LN(MIN(A$33,F16)/'AS08 Coeffs'!J15)-'AS08 Coeffs'!K15*LN(A$54+'AS08 Coeffs'!H15)+'AS08 Coeffs'!K15*LN(A$54+'AS08 Coeffs'!H15*(MIN(A$33,F16)/'AS08 Coeffs'!J15)^'AS08 Coeffs'!G15),('AS08 Coeffs'!O15+'AS08 Coeffs'!K15*'AS08 Coeffs'!G15)*LN(MIN(A$33,F16)/'AS08 Coeffs'!J15))+H16*LN((A$36+'AS08 Coeffs'!I15)/(A$48+'AS08 Coeffs'!I15))+IF(A$36&gt;=200,IF(D16&lt;2,0,0.0625*(D16-2))*LN(A$36/200),0))</f>
        <v>0.38807572522151029</v>
      </c>
      <c r="L16" s="14">
        <f>IF(A$42=0,SQRT(IF(A$6&lt;5,'AS08 Coeffs'!V15,IF(A$6&lt;=7,'AS08 Coeffs'!V15+('AS08 Coeffs'!W15-'AS08 Coeffs'!V15)*(A$6-5)/2,'AS08 Coeffs'!W15))^2+E16^2*(IF(A$6&lt;5,'AS08 Coeffs'!V$27,IF(A$6&lt;=7,'AS08 Coeffs'!V$27+('AS08 Coeffs'!W$27-'AS08 Coeffs'!V$27)*(A$6-5)/2,'AS08 Coeffs'!W$27))^2-0.3^2)+2*E16*SQRT(IF(A$6&lt;5,'AS08 Coeffs'!V15,IF(A$6&lt;=7,'AS08 Coeffs'!V15+('AS08 Coeffs'!W15-'AS08 Coeffs'!V15)*(A$6-5)/2,'AS08 Coeffs'!W15))^2-0.3^2)*SQRT(IF(A$6&lt;5,'AS08 Coeffs'!V$27,IF(A$6&lt;=7,'AS08 Coeffs'!V$27+('AS08 Coeffs'!W$27-'AS08 Coeffs'!V$27)*(A$6-5)/2,'AS08 Coeffs'!W$27))^2-0.3^2)*'AS08 Coeffs'!AB15),SQRT(IF(A$6&lt;5,'AS08 Coeffs'!X15,IF(A$6&lt;=7,'AS08 Coeffs'!X15+('AS08 Coeffs'!Y15-'AS08 Coeffs'!X15)*(A$6-5)/2,'AS08 Coeffs'!Y15))^2+E16^2*(IF(A$6&lt;5,'AS08 Coeffs'!X$27,IF(A$6&lt;=7,'AS08 Coeffs'!X$27+('AS08 Coeffs'!Y$27-'AS08 Coeffs'!X$27)*(A$6-5)/2,'AS08 Coeffs'!Y$27))^2-0.3^2)+2*E16*SQRT(IF(A$6&lt;5,'AS08 Coeffs'!X15,IF(A$6&lt;=7,'AS08 Coeffs'!X15+('AS08 Coeffs'!Y15-'AS08 Coeffs'!X15)*(A$6-5)/2,'AS08 Coeffs'!Y15))^2-0.3^2)*SQRT(IF(A$6&lt;5,'AS08 Coeffs'!X$27,IF(A$6&lt;=7,'AS08 Coeffs'!X$27+('AS08 Coeffs'!Y$27-'AS08 Coeffs'!X$27)*(A$6-5)/2,'AS08 Coeffs'!Y$27))^2-0.3^2)*'AS08 Coeffs'!AB15))</f>
        <v>0.499</v>
      </c>
      <c r="M16" s="14">
        <f>SQRT(IF(A$6&lt;5,'AS08 Coeffs'!Z15,IF(A$6&lt;=7,'AS08 Coeffs'!Z15+('AS08 Coeffs'!AA15-'AS08 Coeffs'!Z15)*(A$6-5)/2,'AS08 Coeffs'!AA15))^2+E16^2*IF(A$6&lt;5,'AS08 Coeffs'!Z$27,IF(A$6&lt;=7,'AS08 Coeffs'!Z$27+('AS08 Coeffs'!AA$27-'AS08 Coeffs'!Z$27)*(A$6-5)/2,'AS08 Coeffs'!AA$27))^2+2*E16*IF(A$6&lt;5,'AS08 Coeffs'!Z15,IF(A$6&lt;=7,'AS08 Coeffs'!Z15+('AS08 Coeffs'!AA15-'AS08 Coeffs'!Z15)*(A$6-5)/2,'AS08 Coeffs'!AA15))*IF(A$6&lt;5,'AS08 Coeffs'!Z$27,IF(A$6&lt;=7,'AS08 Coeffs'!Z$27+('AS08 Coeffs'!AA$27-'AS08 Coeffs'!Z$27)*(A$6-5)/2,'AS08 Coeffs'!AA$27))*'AS08 Coeffs'!AB15)</f>
        <v>0.33500000000000002</v>
      </c>
      <c r="N16" s="14">
        <f t="shared" si="3"/>
        <v>0.60102079830901034</v>
      </c>
      <c r="O16" s="2"/>
    </row>
    <row r="17" spans="1:15" ht="15.75" customHeight="1">
      <c r="A17" s="5" t="s">
        <v>80</v>
      </c>
      <c r="B17" s="16"/>
      <c r="C17" s="1"/>
      <c r="D17" s="30">
        <v>0.4</v>
      </c>
      <c r="E17" s="27">
        <f>IF(A$33&lt;'AS08 Coeffs'!J16,'AS08 Coeffs'!K16*A$54*(1/(A$54+'AS08 Coeffs'!H16*(MIN(A$33,$F17)/'AS08 Coeffs'!J16)^'AS08 Coeffs'!G16)-1/(A$54+'AS08 Coeffs'!H16)),0)</f>
        <v>0</v>
      </c>
      <c r="F17" s="25">
        <f t="shared" si="0"/>
        <v>1500</v>
      </c>
      <c r="G17" s="27">
        <f t="shared" si="1"/>
        <v>9.1614835485093315E-3</v>
      </c>
      <c r="H17" s="27">
        <f>IF(A$33&gt;=1000,0,IF((('AS08 Coeffs'!O16+'AS08 Coeffs'!K16*'AS08 Coeffs'!G16)*LN(MIN(A$33,F17)/MIN(1000,F17))+G17*LN((A$36+'AS08 Coeffs'!I16)/(A$48+'AS08 Coeffs'!I16)))&lt;0,-('AS08 Coeffs'!O16+'AS08 Coeffs'!K16*'AS08 Coeffs'!G16)*LN(MIN(A$33,F17)/MIN(1000,F17))/LN((A$36+'AS08 Coeffs'!I16)/(A$48+'AS08 Coeffs'!I16)),G17))</f>
        <v>9.1614835485093315E-3</v>
      </c>
      <c r="I17" s="28">
        <f>EXP('AS08 Coeffs'!L16+IF(A$6&lt;='AS08 Coeffs'!B16,'AS08 Coeffs'!E16,'AS08 Coeffs'!F16)*(A$6-'AS08 Coeffs'!B16)+'AS08 Coeffs'!N16*(8.5-A$6)^2+('AS08 Coeffs'!M16+'AS08 Coeffs'!D16*(A$6-'AS08 Coeffs'!B16))*LN(SQRT(A$9^2+'AS08 Coeffs'!C16^2))+'AS08 Coeffs'!P16*A$18+'AS08 Coeffs'!Q16*A$21+'AS08 Coeffs'!S16*A$45+('AS08 Coeffs'!O16+'AS08 Coeffs'!K16*'AS08 Coeffs'!G16)*LN(MIN(1100,F17)/'AS08 Coeffs'!J16)+A$24*'AS08 Coeffs'!R16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Coeffs'!T16*A$27/10,'AS08 Coeffs'!T16)+IF(A$9&lt;100,0,'AS08 Coeffs'!U16*(A$9-100)*IF(A$6&lt;5.5,1,IF(A$6&lt;=6.5,0.5*(6.5-A$6)+0.5,0.5))))</f>
        <v>0.28389165178119435</v>
      </c>
      <c r="J17" s="28">
        <f t="shared" si="2"/>
        <v>0</v>
      </c>
      <c r="K17" s="28">
        <f>IF(D17&lt;=A$51,I17,SUM(J$6:J$26)*A$51^2/D17^2)*EXP(-('AS08 Coeffs'!O16+'AS08 Coeffs'!K16*'AS08 Coeffs'!G16)*LN(MIN(1100,F17)/'AS08 Coeffs'!J16)+IF(A$33&lt;'AS08 Coeffs'!J16,'AS08 Coeffs'!O16*LN(MIN(A$33,F17)/'AS08 Coeffs'!J16)-'AS08 Coeffs'!K16*LN(A$54+'AS08 Coeffs'!H16)+'AS08 Coeffs'!K16*LN(A$54+'AS08 Coeffs'!H16*(MIN(A$33,F17)/'AS08 Coeffs'!J16)^'AS08 Coeffs'!G16),('AS08 Coeffs'!O16+'AS08 Coeffs'!K16*'AS08 Coeffs'!G16)*LN(MIN(A$33,F17)/'AS08 Coeffs'!J16))+H17*LN((A$36+'AS08 Coeffs'!I16)/(A$48+'AS08 Coeffs'!I16))+IF(A$36&gt;=200,IF(D17&lt;2,0,0.0625*(D17-2))*LN(A$36/200),0))</f>
        <v>0.35234860994853406</v>
      </c>
      <c r="L17" s="14">
        <f>IF(A$42=0,SQRT(IF(A$6&lt;5,'AS08 Coeffs'!V16,IF(A$6&lt;=7,'AS08 Coeffs'!V16+('AS08 Coeffs'!W16-'AS08 Coeffs'!V16)*(A$6-5)/2,'AS08 Coeffs'!W16))^2+E17^2*(IF(A$6&lt;5,'AS08 Coeffs'!V$27,IF(A$6&lt;=7,'AS08 Coeffs'!V$27+('AS08 Coeffs'!W$27-'AS08 Coeffs'!V$27)*(A$6-5)/2,'AS08 Coeffs'!W$27))^2-0.3^2)+2*E17*SQRT(IF(A$6&lt;5,'AS08 Coeffs'!V16,IF(A$6&lt;=7,'AS08 Coeffs'!V16+('AS08 Coeffs'!W16-'AS08 Coeffs'!V16)*(A$6-5)/2,'AS08 Coeffs'!W16))^2-0.3^2)*SQRT(IF(A$6&lt;5,'AS08 Coeffs'!V$27,IF(A$6&lt;=7,'AS08 Coeffs'!V$27+('AS08 Coeffs'!W$27-'AS08 Coeffs'!V$27)*(A$6-5)/2,'AS08 Coeffs'!W$27))^2-0.3^2)*'AS08 Coeffs'!AB16),SQRT(IF(A$6&lt;5,'AS08 Coeffs'!X16,IF(A$6&lt;=7,'AS08 Coeffs'!X16+('AS08 Coeffs'!Y16-'AS08 Coeffs'!X16)*(A$6-5)/2,'AS08 Coeffs'!Y16))^2+E17^2*(IF(A$6&lt;5,'AS08 Coeffs'!X$27,IF(A$6&lt;=7,'AS08 Coeffs'!X$27+('AS08 Coeffs'!Y$27-'AS08 Coeffs'!X$27)*(A$6-5)/2,'AS08 Coeffs'!Y$27))^2-0.3^2)+2*E17*SQRT(IF(A$6&lt;5,'AS08 Coeffs'!X16,IF(A$6&lt;=7,'AS08 Coeffs'!X16+('AS08 Coeffs'!Y16-'AS08 Coeffs'!X16)*(A$6-5)/2,'AS08 Coeffs'!Y16))^2-0.3^2)*SQRT(IF(A$6&lt;5,'AS08 Coeffs'!X$27,IF(A$6&lt;=7,'AS08 Coeffs'!X$27+('AS08 Coeffs'!Y$27-'AS08 Coeffs'!X$27)*(A$6-5)/2,'AS08 Coeffs'!Y$27))^2-0.3^2)*'AS08 Coeffs'!AB16))</f>
        <v>0.501</v>
      </c>
      <c r="M17" s="14">
        <f>SQRT(IF(A$6&lt;5,'AS08 Coeffs'!Z16,IF(A$6&lt;=7,'AS08 Coeffs'!Z16+('AS08 Coeffs'!AA16-'AS08 Coeffs'!Z16)*(A$6-5)/2,'AS08 Coeffs'!AA16))^2+E17^2*IF(A$6&lt;5,'AS08 Coeffs'!Z$27,IF(A$6&lt;=7,'AS08 Coeffs'!Z$27+('AS08 Coeffs'!AA$27-'AS08 Coeffs'!Z$27)*(A$6-5)/2,'AS08 Coeffs'!AA$27))^2+2*E17*IF(A$6&lt;5,'AS08 Coeffs'!Z16,IF(A$6&lt;=7,'AS08 Coeffs'!Z16+('AS08 Coeffs'!AA16-'AS08 Coeffs'!Z16)*(A$6-5)/2,'AS08 Coeffs'!AA16))*IF(A$6&lt;5,'AS08 Coeffs'!Z$27,IF(A$6&lt;=7,'AS08 Coeffs'!Z$27+('AS08 Coeffs'!AA$27-'AS08 Coeffs'!Z$27)*(A$6-5)/2,'AS08 Coeffs'!AA$27))*'AS08 Coeffs'!AB16)</f>
        <v>0.33800000000000002</v>
      </c>
      <c r="N17" s="14">
        <f t="shared" si="3"/>
        <v>0.60435502810847863</v>
      </c>
      <c r="O17" s="2"/>
    </row>
    <row r="18" spans="1:15" ht="15.75" customHeight="1">
      <c r="A18" s="17">
        <f>Main!$A$28</f>
        <v>0</v>
      </c>
      <c r="B18" s="29"/>
      <c r="C18" s="1"/>
      <c r="D18" s="30">
        <v>0.5</v>
      </c>
      <c r="E18" s="27">
        <f>IF(A$33&lt;'AS08 Coeffs'!J17,'AS08 Coeffs'!K17*A$54*(1/(A$54+'AS08 Coeffs'!H17*(MIN(A$33,$F18)/'AS08 Coeffs'!J17)^'AS08 Coeffs'!G17)-1/(A$54+'AS08 Coeffs'!H17)),0)</f>
        <v>0</v>
      </c>
      <c r="F18" s="25">
        <f t="shared" si="0"/>
        <v>1500</v>
      </c>
      <c r="G18" s="27">
        <f t="shared" si="1"/>
        <v>2.4471186638849476E-2</v>
      </c>
      <c r="H18" s="27">
        <f>IF(A$33&gt;=1000,0,IF((('AS08 Coeffs'!O17+'AS08 Coeffs'!K17*'AS08 Coeffs'!G17)*LN(MIN(A$33,F18)/MIN(1000,F18))+G18*LN((A$36+'AS08 Coeffs'!I17)/(A$48+'AS08 Coeffs'!I17)))&lt;0,-('AS08 Coeffs'!O17+'AS08 Coeffs'!K17*'AS08 Coeffs'!G17)*LN(MIN(A$33,F18)/MIN(1000,F18))/LN((A$36+'AS08 Coeffs'!I17)/(A$48+'AS08 Coeffs'!I17)),G18))</f>
        <v>2.4471186638849476E-2</v>
      </c>
      <c r="I18" s="28">
        <f>EXP('AS08 Coeffs'!L17+IF(A$6&lt;='AS08 Coeffs'!B17,'AS08 Coeffs'!E17,'AS08 Coeffs'!F17)*(A$6-'AS08 Coeffs'!B17)+'AS08 Coeffs'!N17*(8.5-A$6)^2+('AS08 Coeffs'!M17+'AS08 Coeffs'!D17*(A$6-'AS08 Coeffs'!B17))*LN(SQRT(A$9^2+'AS08 Coeffs'!C17^2))+'AS08 Coeffs'!P17*A$18+'AS08 Coeffs'!Q17*A$21+'AS08 Coeffs'!S17*A$45+('AS08 Coeffs'!O17+'AS08 Coeffs'!K17*'AS08 Coeffs'!G17)*LN(MIN(1100,F18)/'AS08 Coeffs'!J17)+A$24*'AS08 Coeffs'!R17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Coeffs'!T17*A$27/10,'AS08 Coeffs'!T17)+IF(A$9&lt;100,0,'AS08 Coeffs'!U17*(A$9-100)*IF(A$6&lt;5.5,1,IF(A$6&lt;=6.5,0.5*(6.5-A$6)+0.5,0.5))))</f>
        <v>0.24911213599483395</v>
      </c>
      <c r="J18" s="28">
        <f t="shared" si="2"/>
        <v>0</v>
      </c>
      <c r="K18" s="28">
        <f>IF(D18&lt;=A$51,I18,SUM(J$6:J$26)*A$51^2/D18^2)*EXP(-('AS08 Coeffs'!O17+'AS08 Coeffs'!K17*'AS08 Coeffs'!G17)*LN(MIN(1100,F18)/'AS08 Coeffs'!J17)+IF(A$33&lt;'AS08 Coeffs'!J17,'AS08 Coeffs'!O17*LN(MIN(A$33,F18)/'AS08 Coeffs'!J17)-'AS08 Coeffs'!K17*LN(A$54+'AS08 Coeffs'!H17)+'AS08 Coeffs'!K17*LN(A$54+'AS08 Coeffs'!H17*(MIN(A$33,F18)/'AS08 Coeffs'!J17)^'AS08 Coeffs'!G17),('AS08 Coeffs'!O17+'AS08 Coeffs'!K17*'AS08 Coeffs'!G17)*LN(MIN(A$33,F18)/'AS08 Coeffs'!J17))+H18*LN((A$36+'AS08 Coeffs'!I17)/(A$48+'AS08 Coeffs'!I17))+IF(A$36&gt;=200,IF(D18&lt;2,0,0.0625*(D18-2))*LN(A$36/200),0))</f>
        <v>0.31212983724060994</v>
      </c>
      <c r="L18" s="14">
        <f>IF(A$42=0,SQRT(IF(A$6&lt;5,'AS08 Coeffs'!V17,IF(A$6&lt;=7,'AS08 Coeffs'!V17+('AS08 Coeffs'!W17-'AS08 Coeffs'!V17)*(A$6-5)/2,'AS08 Coeffs'!W17))^2+E18^2*(IF(A$6&lt;5,'AS08 Coeffs'!V$27,IF(A$6&lt;=7,'AS08 Coeffs'!V$27+('AS08 Coeffs'!W$27-'AS08 Coeffs'!V$27)*(A$6-5)/2,'AS08 Coeffs'!W$27))^2-0.3^2)+2*E18*SQRT(IF(A$6&lt;5,'AS08 Coeffs'!V17,IF(A$6&lt;=7,'AS08 Coeffs'!V17+('AS08 Coeffs'!W17-'AS08 Coeffs'!V17)*(A$6-5)/2,'AS08 Coeffs'!W17))^2-0.3^2)*SQRT(IF(A$6&lt;5,'AS08 Coeffs'!V$27,IF(A$6&lt;=7,'AS08 Coeffs'!V$27+('AS08 Coeffs'!W$27-'AS08 Coeffs'!V$27)*(A$6-5)/2,'AS08 Coeffs'!W$27))^2-0.3^2)*'AS08 Coeffs'!AB17),SQRT(IF(A$6&lt;5,'AS08 Coeffs'!X17,IF(A$6&lt;=7,'AS08 Coeffs'!X17+('AS08 Coeffs'!Y17-'AS08 Coeffs'!X17)*(A$6-5)/2,'AS08 Coeffs'!Y17))^2+E18^2*(IF(A$6&lt;5,'AS08 Coeffs'!X$27,IF(A$6&lt;=7,'AS08 Coeffs'!X$27+('AS08 Coeffs'!Y$27-'AS08 Coeffs'!X$27)*(A$6-5)/2,'AS08 Coeffs'!Y$27))^2-0.3^2)+2*E18*SQRT(IF(A$6&lt;5,'AS08 Coeffs'!X17,IF(A$6&lt;=7,'AS08 Coeffs'!X17+('AS08 Coeffs'!Y17-'AS08 Coeffs'!X17)*(A$6-5)/2,'AS08 Coeffs'!Y17))^2-0.3^2)*SQRT(IF(A$6&lt;5,'AS08 Coeffs'!X$27,IF(A$6&lt;=7,'AS08 Coeffs'!X$27+('AS08 Coeffs'!Y$27-'AS08 Coeffs'!X$27)*(A$6-5)/2,'AS08 Coeffs'!Y$27))^2-0.3^2)*'AS08 Coeffs'!AB17))</f>
        <v>0.504</v>
      </c>
      <c r="M18" s="14">
        <f>SQRT(IF(A$6&lt;5,'AS08 Coeffs'!Z17,IF(A$6&lt;=7,'AS08 Coeffs'!Z17+('AS08 Coeffs'!AA17-'AS08 Coeffs'!Z17)*(A$6-5)/2,'AS08 Coeffs'!AA17))^2+E18^2*IF(A$6&lt;5,'AS08 Coeffs'!Z$27,IF(A$6&lt;=7,'AS08 Coeffs'!Z$27+('AS08 Coeffs'!AA$27-'AS08 Coeffs'!Z$27)*(A$6-5)/2,'AS08 Coeffs'!AA$27))^2+2*E18*IF(A$6&lt;5,'AS08 Coeffs'!Z17,IF(A$6&lt;=7,'AS08 Coeffs'!Z17+('AS08 Coeffs'!AA17-'AS08 Coeffs'!Z17)*(A$6-5)/2,'AS08 Coeffs'!AA17))*IF(A$6&lt;5,'AS08 Coeffs'!Z$27,IF(A$6&lt;=7,'AS08 Coeffs'!Z$27+('AS08 Coeffs'!AA$27-'AS08 Coeffs'!Z$27)*(A$6-5)/2,'AS08 Coeffs'!AA$27))*'AS08 Coeffs'!AB17)</f>
        <v>0.34100000000000003</v>
      </c>
      <c r="N18" s="14">
        <f t="shared" si="3"/>
        <v>0.60852033655416982</v>
      </c>
      <c r="O18" s="2"/>
    </row>
    <row r="19" spans="1:15" ht="15.75" customHeight="1">
      <c r="A19" s="17"/>
      <c r="B19" s="29"/>
      <c r="C19" s="1"/>
      <c r="D19" s="30">
        <v>0.75</v>
      </c>
      <c r="E19" s="27">
        <f>IF(A$33&lt;'AS08 Coeffs'!J18,'AS08 Coeffs'!K18*A$54*(1/(A$54+'AS08 Coeffs'!H18*(MIN(A$33,$F19)/'AS08 Coeffs'!J18)^'AS08 Coeffs'!G18)-1/(A$54+'AS08 Coeffs'!H18)),0)</f>
        <v>0</v>
      </c>
      <c r="F19" s="25">
        <f t="shared" si="0"/>
        <v>1083.5438466133205</v>
      </c>
      <c r="G19" s="27">
        <f t="shared" si="1"/>
        <v>5.228982796668144E-2</v>
      </c>
      <c r="H19" s="27">
        <f>IF(A$33&gt;=1000,0,IF((('AS08 Coeffs'!O18+'AS08 Coeffs'!K18*'AS08 Coeffs'!G18)*LN(MIN(A$33,F19)/MIN(1000,F19))+G19*LN((A$36+'AS08 Coeffs'!I18)/(A$48+'AS08 Coeffs'!I18)))&lt;0,-('AS08 Coeffs'!O18+'AS08 Coeffs'!K18*'AS08 Coeffs'!G18)*LN(MIN(A$33,F19)/MIN(1000,F19))/LN((A$36+'AS08 Coeffs'!I18)/(A$48+'AS08 Coeffs'!I18)),G19))</f>
        <v>5.228982796668144E-2</v>
      </c>
      <c r="I19" s="28">
        <f>EXP('AS08 Coeffs'!L18+IF(A$6&lt;='AS08 Coeffs'!B18,'AS08 Coeffs'!E18,'AS08 Coeffs'!F18)*(A$6-'AS08 Coeffs'!B18)+'AS08 Coeffs'!N18*(8.5-A$6)^2+('AS08 Coeffs'!M18+'AS08 Coeffs'!D18*(A$6-'AS08 Coeffs'!B18))*LN(SQRT(A$9^2+'AS08 Coeffs'!C18^2))+'AS08 Coeffs'!P18*A$18+'AS08 Coeffs'!Q18*A$21+'AS08 Coeffs'!S18*A$45+('AS08 Coeffs'!O18+'AS08 Coeffs'!K18*'AS08 Coeffs'!G18)*LN(MIN(1100,F19)/'AS08 Coeffs'!J18)+A$24*'AS08 Coeffs'!R18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Coeffs'!T18*A$27/10,'AS08 Coeffs'!T18)+IF(A$9&lt;100,0,'AS08 Coeffs'!U18*(A$9-100)*IF(A$6&lt;5.5,1,IF(A$6&lt;=6.5,0.5*(6.5-A$6)+0.5,0.5))))</f>
        <v>0.18347648742151004</v>
      </c>
      <c r="J19" s="28">
        <f>IF(AND(D19&lt;=A$51,D20&gt;A$51),1,0)*EXP(LN(I20/I19)/LN(D20/D19)*LN(A$51/D19)+LN(I19))</f>
        <v>0</v>
      </c>
      <c r="K19" s="28">
        <f>IF(D19&lt;=A$51,I19,SUM(J$6:J$26)*A$51^2/D19^2)*EXP(-('AS08 Coeffs'!O18+'AS08 Coeffs'!K18*'AS08 Coeffs'!G18)*LN(MIN(1100,F19)/'AS08 Coeffs'!J18)+IF(A$33&lt;'AS08 Coeffs'!J18,'AS08 Coeffs'!O18*LN(MIN(A$33,F19)/'AS08 Coeffs'!J18)-'AS08 Coeffs'!K18*LN(A$54+'AS08 Coeffs'!H18)+'AS08 Coeffs'!K18*LN(A$54+'AS08 Coeffs'!H18*(MIN(A$33,F19)/'AS08 Coeffs'!J18)^'AS08 Coeffs'!G18),('AS08 Coeffs'!O18+'AS08 Coeffs'!K18*'AS08 Coeffs'!G18)*LN(MIN(A$33,F19)/'AS08 Coeffs'!J18))+H19*LN((A$36+'AS08 Coeffs'!I18)/(A$48+'AS08 Coeffs'!I18))+IF(A$36&gt;=200,IF(D19&lt;2,0,0.0625*(D19-2))*LN(A$36/200),0))</f>
        <v>0.23384087926792949</v>
      </c>
      <c r="L19" s="14">
        <f>IF(A$42=0,SQRT(IF(A$6&lt;5,'AS08 Coeffs'!V18,IF(A$6&lt;=7,'AS08 Coeffs'!V18+('AS08 Coeffs'!W18-'AS08 Coeffs'!V18)*(A$6-5)/2,'AS08 Coeffs'!W18))^2+E19^2*(IF(A$6&lt;5,'AS08 Coeffs'!V$27,IF(A$6&lt;=7,'AS08 Coeffs'!V$27+('AS08 Coeffs'!W$27-'AS08 Coeffs'!V$27)*(A$6-5)/2,'AS08 Coeffs'!W$27))^2-0.3^2)+2*E19*SQRT(IF(A$6&lt;5,'AS08 Coeffs'!V18,IF(A$6&lt;=7,'AS08 Coeffs'!V18+('AS08 Coeffs'!W18-'AS08 Coeffs'!V18)*(A$6-5)/2,'AS08 Coeffs'!W18))^2-0.3^2)*SQRT(IF(A$6&lt;5,'AS08 Coeffs'!V$27,IF(A$6&lt;=7,'AS08 Coeffs'!V$27+('AS08 Coeffs'!W$27-'AS08 Coeffs'!V$27)*(A$6-5)/2,'AS08 Coeffs'!W$27))^2-0.3^2)*'AS08 Coeffs'!AB18),SQRT(IF(A$6&lt;5,'AS08 Coeffs'!X18,IF(A$6&lt;=7,'AS08 Coeffs'!X18+('AS08 Coeffs'!Y18-'AS08 Coeffs'!X18)*(A$6-5)/2,'AS08 Coeffs'!Y18))^2+E19^2*(IF(A$6&lt;5,'AS08 Coeffs'!X$27,IF(A$6&lt;=7,'AS08 Coeffs'!X$27+('AS08 Coeffs'!Y$27-'AS08 Coeffs'!X$27)*(A$6-5)/2,'AS08 Coeffs'!Y$27))^2-0.3^2)+2*E19*SQRT(IF(A$6&lt;5,'AS08 Coeffs'!X18,IF(A$6&lt;=7,'AS08 Coeffs'!X18+('AS08 Coeffs'!Y18-'AS08 Coeffs'!X18)*(A$6-5)/2,'AS08 Coeffs'!Y18))^2-0.3^2)*SQRT(IF(A$6&lt;5,'AS08 Coeffs'!X$27,IF(A$6&lt;=7,'AS08 Coeffs'!X$27+('AS08 Coeffs'!Y$27-'AS08 Coeffs'!X$27)*(A$6-5)/2,'AS08 Coeffs'!Y$27))^2-0.3^2)*'AS08 Coeffs'!AB18))</f>
        <v>0.50600000000000001</v>
      </c>
      <c r="M19" s="14">
        <f>SQRT(IF(A$6&lt;5,'AS08 Coeffs'!Z18,IF(A$6&lt;=7,'AS08 Coeffs'!Z18+('AS08 Coeffs'!AA18-'AS08 Coeffs'!Z18)*(A$6-5)/2,'AS08 Coeffs'!AA18))^2+E19^2*IF(A$6&lt;5,'AS08 Coeffs'!Z$27,IF(A$6&lt;=7,'AS08 Coeffs'!Z$27+('AS08 Coeffs'!AA$27-'AS08 Coeffs'!Z$27)*(A$6-5)/2,'AS08 Coeffs'!AA$27))^2+2*E19*IF(A$6&lt;5,'AS08 Coeffs'!Z18,IF(A$6&lt;=7,'AS08 Coeffs'!Z18+('AS08 Coeffs'!AA18-'AS08 Coeffs'!Z18)*(A$6-5)/2,'AS08 Coeffs'!AA18))*IF(A$6&lt;5,'AS08 Coeffs'!Z$27,IF(A$6&lt;=7,'AS08 Coeffs'!Z$27+('AS08 Coeffs'!AA$27-'AS08 Coeffs'!Z$27)*(A$6-5)/2,'AS08 Coeffs'!AA$27))*'AS08 Coeffs'!AB18)</f>
        <v>0.34599999999999997</v>
      </c>
      <c r="N19" s="14">
        <f t="shared" si="3"/>
        <v>0.61298613361151977</v>
      </c>
      <c r="O19" s="2"/>
    </row>
    <row r="20" spans="1:15" ht="15.75" customHeight="1">
      <c r="A20" s="5" t="s">
        <v>81</v>
      </c>
      <c r="B20" s="29"/>
      <c r="C20" s="1"/>
      <c r="D20" s="31">
        <v>1</v>
      </c>
      <c r="E20" s="27">
        <f>IF(A$33&lt;'AS08 Coeffs'!J19,'AS08 Coeffs'!K19*A$54*(1/(A$54+'AS08 Coeffs'!H19*(MIN(A$33,$F20)/'AS08 Coeffs'!J19)^'AS08 Coeffs'!G19)-1/(A$54+'AS08 Coeffs'!H19)),0)</f>
        <v>0</v>
      </c>
      <c r="F20" s="25">
        <f t="shared" si="0"/>
        <v>862.02566166156714</v>
      </c>
      <c r="G20" s="27">
        <f t="shared" si="1"/>
        <v>7.2027468098834452E-2</v>
      </c>
      <c r="H20" s="27">
        <f>IF(A$33&gt;=1000,0,IF((('AS08 Coeffs'!O19+'AS08 Coeffs'!K19*'AS08 Coeffs'!G19)*LN(MIN(A$33,F20)/MIN(1000,F20))+G20*LN((A$36+'AS08 Coeffs'!I19)/(A$48+'AS08 Coeffs'!I19)))&lt;0,-('AS08 Coeffs'!O19+'AS08 Coeffs'!K19*'AS08 Coeffs'!G19)*LN(MIN(A$33,F20)/MIN(1000,F20))/LN((A$36+'AS08 Coeffs'!I19)/(A$48+'AS08 Coeffs'!I19)),G20))</f>
        <v>7.2027468098834452E-2</v>
      </c>
      <c r="I20" s="28">
        <f>EXP('AS08 Coeffs'!L19+IF(A$6&lt;='AS08 Coeffs'!B19,'AS08 Coeffs'!E19,'AS08 Coeffs'!F19)*(A$6-'AS08 Coeffs'!B19)+'AS08 Coeffs'!N19*(8.5-A$6)^2+('AS08 Coeffs'!M19+'AS08 Coeffs'!D19*(A$6-'AS08 Coeffs'!B19))*LN(SQRT(A$9^2+'AS08 Coeffs'!C19^2))+'AS08 Coeffs'!P19*A$18+'AS08 Coeffs'!Q19*A$21+'AS08 Coeffs'!S19*A$45+('AS08 Coeffs'!O19+'AS08 Coeffs'!K19*'AS08 Coeffs'!G19)*LN(MIN(1100,F20)/'AS08 Coeffs'!J19)+A$24*'AS08 Coeffs'!R19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Coeffs'!T19*A$27/10,'AS08 Coeffs'!T19)+IF(A$9&lt;100,0,'AS08 Coeffs'!U19*(A$9-100)*IF(A$6&lt;5.5,1,IF(A$6&lt;=6.5,0.5*(6.5-A$6)+0.5,0.5))))</f>
        <v>0.16780783627122989</v>
      </c>
      <c r="J20" s="28">
        <f t="shared" si="2"/>
        <v>0</v>
      </c>
      <c r="K20" s="28">
        <f>IF(D20&lt;=A$51,I20,SUM(J$6:J$26)*A$51^2/D20^2)*EXP(-('AS08 Coeffs'!O19+'AS08 Coeffs'!K19*'AS08 Coeffs'!G19)*LN(MIN(1100,F20)/'AS08 Coeffs'!J19)+IF(A$33&lt;'AS08 Coeffs'!J19,'AS08 Coeffs'!O19*LN(MIN(A$33,F20)/'AS08 Coeffs'!J19)-'AS08 Coeffs'!K19*LN(A$54+'AS08 Coeffs'!H19)+'AS08 Coeffs'!K19*LN(A$54+'AS08 Coeffs'!H19*(MIN(A$33,F20)/'AS08 Coeffs'!J19)^'AS08 Coeffs'!G19),('AS08 Coeffs'!O19+'AS08 Coeffs'!K19*'AS08 Coeffs'!G19)*LN(MIN(A$33,F20)/'AS08 Coeffs'!J19))+H20*LN((A$36+'AS08 Coeffs'!I19)/(A$48+'AS08 Coeffs'!I19))+IF(A$36&gt;=200,IF(D20&lt;2,0,0.0625*(D20-2))*LN(A$36/200),0))</f>
        <v>0.18411881856914938</v>
      </c>
      <c r="L20" s="14">
        <f>IF(A$42=0,SQRT(IF(A$6&lt;5,'AS08 Coeffs'!V19,IF(A$6&lt;=7,'AS08 Coeffs'!V19+('AS08 Coeffs'!W19-'AS08 Coeffs'!V19)*(A$6-5)/2,'AS08 Coeffs'!W19))^2+E20^2*(IF(A$6&lt;5,'AS08 Coeffs'!V$27,IF(A$6&lt;=7,'AS08 Coeffs'!V$27+('AS08 Coeffs'!W$27-'AS08 Coeffs'!V$27)*(A$6-5)/2,'AS08 Coeffs'!W$27))^2-0.3^2)+2*E20*SQRT(IF(A$6&lt;5,'AS08 Coeffs'!V19,IF(A$6&lt;=7,'AS08 Coeffs'!V19+('AS08 Coeffs'!W19-'AS08 Coeffs'!V19)*(A$6-5)/2,'AS08 Coeffs'!W19))^2-0.3^2)*SQRT(IF(A$6&lt;5,'AS08 Coeffs'!V$27,IF(A$6&lt;=7,'AS08 Coeffs'!V$27+('AS08 Coeffs'!W$27-'AS08 Coeffs'!V$27)*(A$6-5)/2,'AS08 Coeffs'!W$27))^2-0.3^2)*'AS08 Coeffs'!AB19),SQRT(IF(A$6&lt;5,'AS08 Coeffs'!X19,IF(A$6&lt;=7,'AS08 Coeffs'!X19+('AS08 Coeffs'!Y19-'AS08 Coeffs'!X19)*(A$6-5)/2,'AS08 Coeffs'!Y19))^2+E20^2*(IF(A$6&lt;5,'AS08 Coeffs'!X$27,IF(A$6&lt;=7,'AS08 Coeffs'!X$27+('AS08 Coeffs'!Y$27-'AS08 Coeffs'!X$27)*(A$6-5)/2,'AS08 Coeffs'!Y$27))^2-0.3^2)+2*E20*SQRT(IF(A$6&lt;5,'AS08 Coeffs'!X19,IF(A$6&lt;=7,'AS08 Coeffs'!X19+('AS08 Coeffs'!Y19-'AS08 Coeffs'!X19)*(A$6-5)/2,'AS08 Coeffs'!Y19))^2-0.3^2)*SQRT(IF(A$6&lt;5,'AS08 Coeffs'!X$27,IF(A$6&lt;=7,'AS08 Coeffs'!X$27+('AS08 Coeffs'!Y$27-'AS08 Coeffs'!X$27)*(A$6-5)/2,'AS08 Coeffs'!Y$27))^2-0.3^2)*'AS08 Coeffs'!AB19))</f>
        <v>0.503</v>
      </c>
      <c r="M20" s="14">
        <f>SQRT(IF(A$6&lt;5,'AS08 Coeffs'!Z19,IF(A$6&lt;=7,'AS08 Coeffs'!Z19+('AS08 Coeffs'!AA19-'AS08 Coeffs'!Z19)*(A$6-5)/2,'AS08 Coeffs'!AA19))^2+E20^2*IF(A$6&lt;5,'AS08 Coeffs'!Z$27,IF(A$6&lt;=7,'AS08 Coeffs'!Z$27+('AS08 Coeffs'!AA$27-'AS08 Coeffs'!Z$27)*(A$6-5)/2,'AS08 Coeffs'!AA$27))^2+2*E20*IF(A$6&lt;5,'AS08 Coeffs'!Z19,IF(A$6&lt;=7,'AS08 Coeffs'!Z19+('AS08 Coeffs'!AA19-'AS08 Coeffs'!Z19)*(A$6-5)/2,'AS08 Coeffs'!AA19))*IF(A$6&lt;5,'AS08 Coeffs'!Z$27,IF(A$6&lt;=7,'AS08 Coeffs'!Z$27+('AS08 Coeffs'!AA$27-'AS08 Coeffs'!Z$27)*(A$6-5)/2,'AS08 Coeffs'!AA$27))*'AS08 Coeffs'!AB19)</f>
        <v>0.35</v>
      </c>
      <c r="N20" s="14">
        <f t="shared" si="3"/>
        <v>0.61278789152528135</v>
      </c>
      <c r="O20" s="2"/>
    </row>
    <row r="21" spans="1:15" ht="15.75" customHeight="1">
      <c r="A21" s="17">
        <f>Main!$A$31</f>
        <v>1</v>
      </c>
      <c r="B21" s="29"/>
      <c r="C21" s="1"/>
      <c r="D21" s="31">
        <v>1.5</v>
      </c>
      <c r="E21" s="27">
        <f>IF(A$33&lt;'AS08 Coeffs'!J20,'AS08 Coeffs'!K20*A$54*(1/(A$54+'AS08 Coeffs'!H20*(MIN(A$33,$F21)/'AS08 Coeffs'!J20)^'AS08 Coeffs'!G20)-1/(A$54+'AS08 Coeffs'!H20)),0)</f>
        <v>0</v>
      </c>
      <c r="F21" s="25">
        <f t="shared" si="0"/>
        <v>764.77132142081223</v>
      </c>
      <c r="G21" s="27">
        <f t="shared" si="1"/>
        <v>9.9846109426666413E-2</v>
      </c>
      <c r="H21" s="27">
        <f>IF(A$33&gt;=1000,0,IF((('AS08 Coeffs'!O20+'AS08 Coeffs'!K20*'AS08 Coeffs'!G20)*LN(MIN(A$33,F21)/MIN(1000,F21))+G21*LN((A$36+'AS08 Coeffs'!I20)/(A$48+'AS08 Coeffs'!I20)))&lt;0,-('AS08 Coeffs'!O20+'AS08 Coeffs'!K20*'AS08 Coeffs'!G20)*LN(MIN(A$33,F21)/MIN(1000,F21))/LN((A$36+'AS08 Coeffs'!I20)/(A$48+'AS08 Coeffs'!I20)),G21))</f>
        <v>9.9846109426666413E-2</v>
      </c>
      <c r="I21" s="28">
        <f>EXP('AS08 Coeffs'!L20+IF(A$6&lt;='AS08 Coeffs'!B20,'AS08 Coeffs'!E20,'AS08 Coeffs'!F20)*(A$6-'AS08 Coeffs'!B20)+'AS08 Coeffs'!N20*(8.5-A$6)^2+('AS08 Coeffs'!M20+'AS08 Coeffs'!D20*(A$6-'AS08 Coeffs'!B20))*LN(SQRT(A$9^2+'AS08 Coeffs'!C20^2))+'AS08 Coeffs'!P20*A$18+'AS08 Coeffs'!Q20*A$21+'AS08 Coeffs'!S20*A$45+('AS08 Coeffs'!O20+'AS08 Coeffs'!K20*'AS08 Coeffs'!G20)*LN(MIN(1100,F21)/'AS08 Coeffs'!J20)+A$24*'AS08 Coeffs'!R20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Coeffs'!T20*A$27/10,'AS08 Coeffs'!T20)+IF(A$9&lt;100,0,'AS08 Coeffs'!U20*(A$9-100)*IF(A$6&lt;5.5,1,IF(A$6&lt;=6.5,0.5*(6.5-A$6)+0.5,0.5))))</f>
        <v>0.11933934807301974</v>
      </c>
      <c r="J21" s="28">
        <f t="shared" si="2"/>
        <v>0</v>
      </c>
      <c r="K21" s="28">
        <f>IF(D21&lt;=A$51,I21,SUM(J$6:J$26)*A$51^2/D21^2)*EXP(-('AS08 Coeffs'!O20+'AS08 Coeffs'!K20*'AS08 Coeffs'!G20)*LN(MIN(1100,F21)/'AS08 Coeffs'!J20)+IF(A$33&lt;'AS08 Coeffs'!J20,'AS08 Coeffs'!O20*LN(MIN(A$33,F21)/'AS08 Coeffs'!J20)-'AS08 Coeffs'!K20*LN(A$54+'AS08 Coeffs'!H20)+'AS08 Coeffs'!K20*LN(A$54+'AS08 Coeffs'!H20*(MIN(A$33,F21)/'AS08 Coeffs'!J20)^'AS08 Coeffs'!G20),('AS08 Coeffs'!O20+'AS08 Coeffs'!K20*'AS08 Coeffs'!G20)*LN(MIN(A$33,F21)/'AS08 Coeffs'!J20))+H21*LN((A$36+'AS08 Coeffs'!I20)/(A$48+'AS08 Coeffs'!I20))+IF(A$36&gt;=200,IF(D21&lt;2,0,0.0625*(D21-2))*LN(A$36/200),0))</f>
        <v>0.11994615463021778</v>
      </c>
      <c r="L21" s="14">
        <f>IF(A$42=0,SQRT(IF(A$6&lt;5,'AS08 Coeffs'!V20,IF(A$6&lt;=7,'AS08 Coeffs'!V20+('AS08 Coeffs'!W20-'AS08 Coeffs'!V20)*(A$6-5)/2,'AS08 Coeffs'!W20))^2+E21^2*(IF(A$6&lt;5,'AS08 Coeffs'!V$27,IF(A$6&lt;=7,'AS08 Coeffs'!V$27+('AS08 Coeffs'!W$27-'AS08 Coeffs'!V$27)*(A$6-5)/2,'AS08 Coeffs'!W$27))^2-0.3^2)+2*E21*SQRT(IF(A$6&lt;5,'AS08 Coeffs'!V20,IF(A$6&lt;=7,'AS08 Coeffs'!V20+('AS08 Coeffs'!W20-'AS08 Coeffs'!V20)*(A$6-5)/2,'AS08 Coeffs'!W20))^2-0.3^2)*SQRT(IF(A$6&lt;5,'AS08 Coeffs'!V$27,IF(A$6&lt;=7,'AS08 Coeffs'!V$27+('AS08 Coeffs'!W$27-'AS08 Coeffs'!V$27)*(A$6-5)/2,'AS08 Coeffs'!W$27))^2-0.3^2)*'AS08 Coeffs'!AB20),SQRT(IF(A$6&lt;5,'AS08 Coeffs'!X20,IF(A$6&lt;=7,'AS08 Coeffs'!X20+('AS08 Coeffs'!Y20-'AS08 Coeffs'!X20)*(A$6-5)/2,'AS08 Coeffs'!Y20))^2+E21^2*(IF(A$6&lt;5,'AS08 Coeffs'!X$27,IF(A$6&lt;=7,'AS08 Coeffs'!X$27+('AS08 Coeffs'!Y$27-'AS08 Coeffs'!X$27)*(A$6-5)/2,'AS08 Coeffs'!Y$27))^2-0.3^2)+2*E21*SQRT(IF(A$6&lt;5,'AS08 Coeffs'!X20,IF(A$6&lt;=7,'AS08 Coeffs'!X20+('AS08 Coeffs'!Y20-'AS08 Coeffs'!X20)*(A$6-5)/2,'AS08 Coeffs'!Y20))^2-0.3^2)*SQRT(IF(A$6&lt;5,'AS08 Coeffs'!X$27,IF(A$6&lt;=7,'AS08 Coeffs'!X$27+('AS08 Coeffs'!Y$27-'AS08 Coeffs'!X$27)*(A$6-5)/2,'AS08 Coeffs'!Y$27))^2-0.3^2)*'AS08 Coeffs'!AB20))</f>
        <v>0.497</v>
      </c>
      <c r="M21" s="14">
        <f>SQRT(IF(A$6&lt;5,'AS08 Coeffs'!Z20,IF(A$6&lt;=7,'AS08 Coeffs'!Z20+('AS08 Coeffs'!AA20-'AS08 Coeffs'!Z20)*(A$6-5)/2,'AS08 Coeffs'!AA20))^2+E21^2*IF(A$6&lt;5,'AS08 Coeffs'!Z$27,IF(A$6&lt;=7,'AS08 Coeffs'!Z$27+('AS08 Coeffs'!AA$27-'AS08 Coeffs'!Z$27)*(A$6-5)/2,'AS08 Coeffs'!AA$27))^2+2*E21*IF(A$6&lt;5,'AS08 Coeffs'!Z20,IF(A$6&lt;=7,'AS08 Coeffs'!Z20+('AS08 Coeffs'!AA20-'AS08 Coeffs'!Z20)*(A$6-5)/2,'AS08 Coeffs'!AA20))*IF(A$6&lt;5,'AS08 Coeffs'!Z$27,IF(A$6&lt;=7,'AS08 Coeffs'!Z$27+('AS08 Coeffs'!AA$27-'AS08 Coeffs'!Z$27)*(A$6-5)/2,'AS08 Coeffs'!AA$27))*'AS08 Coeffs'!AB20)</f>
        <v>0.35</v>
      </c>
      <c r="N21" s="14">
        <f t="shared" si="3"/>
        <v>0.60787251953020538</v>
      </c>
      <c r="O21" s="2"/>
    </row>
    <row r="22" spans="1:15" ht="15.75" customHeight="1">
      <c r="A22" s="17"/>
      <c r="B22" s="16"/>
      <c r="C22" s="1"/>
      <c r="D22" s="31">
        <v>2</v>
      </c>
      <c r="E22" s="27">
        <f>IF(A$33&lt;'AS08 Coeffs'!J21,'AS08 Coeffs'!K21*A$54*(1/(A$54+'AS08 Coeffs'!H21*(MIN(A$33,$F22)/'AS08 Coeffs'!J21)^'AS08 Coeffs'!G21)-1/(A$54+'AS08 Coeffs'!H21)),0)</f>
        <v>0</v>
      </c>
      <c r="F22" s="25">
        <f t="shared" si="0"/>
        <v>700</v>
      </c>
      <c r="G22" s="27">
        <f t="shared" si="1"/>
        <v>0.11958374955881942</v>
      </c>
      <c r="H22" s="27">
        <f>IF(A$33&gt;=1000,0,IF((('AS08 Coeffs'!O21+'AS08 Coeffs'!K21*'AS08 Coeffs'!G21)*LN(MIN(A$33,F22)/MIN(1000,F22))+G22*LN((A$36+'AS08 Coeffs'!I21)/(A$48+'AS08 Coeffs'!I21)))&lt;0,-('AS08 Coeffs'!O21+'AS08 Coeffs'!K21*'AS08 Coeffs'!G21)*LN(MIN(A$33,F22)/MIN(1000,F22))/LN((A$36+'AS08 Coeffs'!I21)/(A$48+'AS08 Coeffs'!I21)),G22))</f>
        <v>0.11958374955881942</v>
      </c>
      <c r="I22" s="28">
        <f>EXP('AS08 Coeffs'!L21+IF(A$6&lt;='AS08 Coeffs'!B21,'AS08 Coeffs'!E21,'AS08 Coeffs'!F21)*(A$6-'AS08 Coeffs'!B21)+'AS08 Coeffs'!N21*(8.5-A$6)^2+('AS08 Coeffs'!M21+'AS08 Coeffs'!D21*(A$6-'AS08 Coeffs'!B21))*LN(SQRT(A$9^2+'AS08 Coeffs'!C21^2))+'AS08 Coeffs'!P21*A$18+'AS08 Coeffs'!Q21*A$21+'AS08 Coeffs'!S21*A$45+('AS08 Coeffs'!O21+'AS08 Coeffs'!K21*'AS08 Coeffs'!G21)*LN(MIN(1100,F22)/'AS08 Coeffs'!J21)+A$24*'AS08 Coeffs'!R21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Coeffs'!T21*A$27/10,'AS08 Coeffs'!T21)+IF(A$9&lt;100,0,'AS08 Coeffs'!U21*(A$9-100)*IF(A$6&lt;5.5,1,IF(A$6&lt;=6.5,0.5*(6.5-A$6)+0.5,0.5))))</f>
        <v>8.6395089309919196E-2</v>
      </c>
      <c r="J22" s="28">
        <f t="shared" si="2"/>
        <v>0</v>
      </c>
      <c r="K22" s="28">
        <f>IF(D22&lt;=A$51,I22,SUM(J$6:J$26)*A$51^2/D22^2)*EXP(-('AS08 Coeffs'!O21+'AS08 Coeffs'!K21*'AS08 Coeffs'!G21)*LN(MIN(1100,F22)/'AS08 Coeffs'!J21)+IF(A$33&lt;'AS08 Coeffs'!J21,'AS08 Coeffs'!O21*LN(MIN(A$33,F22)/'AS08 Coeffs'!J21)-'AS08 Coeffs'!K21*LN(A$54+'AS08 Coeffs'!H21)+'AS08 Coeffs'!K21*LN(A$54+'AS08 Coeffs'!H21*(MIN(A$33,F22)/'AS08 Coeffs'!J21)^'AS08 Coeffs'!G21),('AS08 Coeffs'!O21+'AS08 Coeffs'!K21*'AS08 Coeffs'!G21)*LN(MIN(A$33,F22)/'AS08 Coeffs'!J21))+H22*LN((A$36+'AS08 Coeffs'!I21)/(A$48+'AS08 Coeffs'!I21))+IF(A$36&gt;=200,IF(D22&lt;2,0,0.0625*(D22-2))*LN(A$36/200),0))</f>
        <v>8.6395089309919196E-2</v>
      </c>
      <c r="L22" s="14">
        <f>IF(A$42=0,SQRT(IF(A$6&lt;5,'AS08 Coeffs'!V21,IF(A$6&lt;=7,'AS08 Coeffs'!V21+('AS08 Coeffs'!W21-'AS08 Coeffs'!V21)*(A$6-5)/2,'AS08 Coeffs'!W21))^2+E22^2*(IF(A$6&lt;5,'AS08 Coeffs'!V$27,IF(A$6&lt;=7,'AS08 Coeffs'!V$27+('AS08 Coeffs'!W$27-'AS08 Coeffs'!V$27)*(A$6-5)/2,'AS08 Coeffs'!W$27))^2-0.3^2)+2*E22*SQRT(IF(A$6&lt;5,'AS08 Coeffs'!V21,IF(A$6&lt;=7,'AS08 Coeffs'!V21+('AS08 Coeffs'!W21-'AS08 Coeffs'!V21)*(A$6-5)/2,'AS08 Coeffs'!W21))^2-0.3^2)*SQRT(IF(A$6&lt;5,'AS08 Coeffs'!V$27,IF(A$6&lt;=7,'AS08 Coeffs'!V$27+('AS08 Coeffs'!W$27-'AS08 Coeffs'!V$27)*(A$6-5)/2,'AS08 Coeffs'!W$27))^2-0.3^2)*'AS08 Coeffs'!AB21),SQRT(IF(A$6&lt;5,'AS08 Coeffs'!X21,IF(A$6&lt;=7,'AS08 Coeffs'!X21+('AS08 Coeffs'!Y21-'AS08 Coeffs'!X21)*(A$6-5)/2,'AS08 Coeffs'!Y21))^2+E22^2*(IF(A$6&lt;5,'AS08 Coeffs'!X$27,IF(A$6&lt;=7,'AS08 Coeffs'!X$27+('AS08 Coeffs'!Y$27-'AS08 Coeffs'!X$27)*(A$6-5)/2,'AS08 Coeffs'!Y$27))^2-0.3^2)+2*E22*SQRT(IF(A$6&lt;5,'AS08 Coeffs'!X21,IF(A$6&lt;=7,'AS08 Coeffs'!X21+('AS08 Coeffs'!Y21-'AS08 Coeffs'!X21)*(A$6-5)/2,'AS08 Coeffs'!Y21))^2-0.3^2)*SQRT(IF(A$6&lt;5,'AS08 Coeffs'!X$27,IF(A$6&lt;=7,'AS08 Coeffs'!X$27+('AS08 Coeffs'!Y$27-'AS08 Coeffs'!X$27)*(A$6-5)/2,'AS08 Coeffs'!Y$27))^2-0.3^2)*'AS08 Coeffs'!AB21))</f>
        <v>0.49099999999999999</v>
      </c>
      <c r="M22" s="14">
        <f>SQRT(IF(A$6&lt;5,'AS08 Coeffs'!Z21,IF(A$6&lt;=7,'AS08 Coeffs'!Z21+('AS08 Coeffs'!AA21-'AS08 Coeffs'!Z21)*(A$6-5)/2,'AS08 Coeffs'!AA21))^2+E22^2*IF(A$6&lt;5,'AS08 Coeffs'!Z$27,IF(A$6&lt;=7,'AS08 Coeffs'!Z$27+('AS08 Coeffs'!AA$27-'AS08 Coeffs'!Z$27)*(A$6-5)/2,'AS08 Coeffs'!AA$27))^2+2*E22*IF(A$6&lt;5,'AS08 Coeffs'!Z21,IF(A$6&lt;=7,'AS08 Coeffs'!Z21+('AS08 Coeffs'!AA21-'AS08 Coeffs'!Z21)*(A$6-5)/2,'AS08 Coeffs'!AA21))*IF(A$6&lt;5,'AS08 Coeffs'!Z$27,IF(A$6&lt;=7,'AS08 Coeffs'!Z$27+('AS08 Coeffs'!AA$27-'AS08 Coeffs'!Z$27)*(A$6-5)/2,'AS08 Coeffs'!AA$27))*'AS08 Coeffs'!AB21)</f>
        <v>0.35</v>
      </c>
      <c r="N22" s="14">
        <f t="shared" si="3"/>
        <v>0.60297678230591933</v>
      </c>
      <c r="O22" s="2"/>
    </row>
    <row r="23" spans="1:15" ht="15.75" customHeight="1">
      <c r="A23" s="5" t="s">
        <v>82</v>
      </c>
      <c r="B23" s="16"/>
      <c r="C23" s="1"/>
      <c r="D23" s="31">
        <v>3</v>
      </c>
      <c r="E23" s="27">
        <f>IF(A$33&lt;'AS08 Coeffs'!J22,'AS08 Coeffs'!K22*A$54*(1/(A$54+'AS08 Coeffs'!H22*(MIN(A$33,$F23)/'AS08 Coeffs'!J22)^'AS08 Coeffs'!G22)-1/(A$54+'AS08 Coeffs'!H22)),0)</f>
        <v>0</v>
      </c>
      <c r="F23" s="25">
        <f t="shared" si="0"/>
        <v>700</v>
      </c>
      <c r="G23" s="27">
        <f t="shared" si="1"/>
        <v>0.11958374955881942</v>
      </c>
      <c r="H23" s="27">
        <f>IF(A$33&gt;=1000,0,IF((('AS08 Coeffs'!O22+'AS08 Coeffs'!K22*'AS08 Coeffs'!G22)*LN(MIN(A$33,F23)/MIN(1000,F23))+G23*LN((A$36+'AS08 Coeffs'!I22)/(A$48+'AS08 Coeffs'!I22)))&lt;0,-('AS08 Coeffs'!O22+'AS08 Coeffs'!K22*'AS08 Coeffs'!G22)*LN(MIN(A$33,F23)/MIN(1000,F23))/LN((A$36+'AS08 Coeffs'!I22)/(A$48+'AS08 Coeffs'!I22)),G23))</f>
        <v>0.11958374955881942</v>
      </c>
      <c r="I23" s="28">
        <f>EXP('AS08 Coeffs'!L22+IF(A$6&lt;='AS08 Coeffs'!B22,'AS08 Coeffs'!E22,'AS08 Coeffs'!F22)*(A$6-'AS08 Coeffs'!B22)+'AS08 Coeffs'!N22*(8.5-A$6)^2+('AS08 Coeffs'!M22+'AS08 Coeffs'!D22*(A$6-'AS08 Coeffs'!B22))*LN(SQRT(A$9^2+'AS08 Coeffs'!C22^2))+'AS08 Coeffs'!P22*A$18+'AS08 Coeffs'!Q22*A$21+'AS08 Coeffs'!S22*A$45+('AS08 Coeffs'!O22+'AS08 Coeffs'!K22*'AS08 Coeffs'!G22)*LN(MIN(1100,F23)/'AS08 Coeffs'!J22)+A$24*'AS08 Coeffs'!R22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Coeffs'!T22*A$27/10,'AS08 Coeffs'!T22)+IF(A$9&lt;100,0,'AS08 Coeffs'!U22*(A$9-100)*IF(A$6&lt;5.5,1,IF(A$6&lt;=6.5,0.5*(6.5-A$6)+0.5,0.5))))</f>
        <v>5.3559438104815019E-2</v>
      </c>
      <c r="J23" s="28">
        <f t="shared" si="2"/>
        <v>0</v>
      </c>
      <c r="K23" s="28">
        <f>IF(D23&lt;=A$51,I23,SUM(J$6:J$26)*A$51^2/D23^2)*EXP(-('AS08 Coeffs'!O22+'AS08 Coeffs'!K22*'AS08 Coeffs'!G22)*LN(MIN(1100,F23)/'AS08 Coeffs'!J22)+IF(A$33&lt;'AS08 Coeffs'!J22,'AS08 Coeffs'!O22*LN(MIN(A$33,F23)/'AS08 Coeffs'!J22)-'AS08 Coeffs'!K22*LN(A$54+'AS08 Coeffs'!H22)+'AS08 Coeffs'!K22*LN(A$54+'AS08 Coeffs'!H22*(MIN(A$33,F23)/'AS08 Coeffs'!J22)^'AS08 Coeffs'!G22),('AS08 Coeffs'!O22+'AS08 Coeffs'!K22*'AS08 Coeffs'!G22)*LN(MIN(A$33,F23)/'AS08 Coeffs'!J22))+H23*LN((A$36+'AS08 Coeffs'!I22)/(A$48+'AS08 Coeffs'!I22))+IF(A$36&gt;=200,IF(D23&lt;2,0,0.0625*(D23-2))*LN(A$36/200),0))</f>
        <v>5.3559438104815019E-2</v>
      </c>
      <c r="L23" s="14">
        <f>IF(A$42=0,SQRT(IF(A$6&lt;5,'AS08 Coeffs'!V22,IF(A$6&lt;=7,'AS08 Coeffs'!V22+('AS08 Coeffs'!W22-'AS08 Coeffs'!V22)*(A$6-5)/2,'AS08 Coeffs'!W22))^2+E23^2*(IF(A$6&lt;5,'AS08 Coeffs'!V$27,IF(A$6&lt;=7,'AS08 Coeffs'!V$27+('AS08 Coeffs'!W$27-'AS08 Coeffs'!V$27)*(A$6-5)/2,'AS08 Coeffs'!W$27))^2-0.3^2)+2*E23*SQRT(IF(A$6&lt;5,'AS08 Coeffs'!V22,IF(A$6&lt;=7,'AS08 Coeffs'!V22+('AS08 Coeffs'!W22-'AS08 Coeffs'!V22)*(A$6-5)/2,'AS08 Coeffs'!W22))^2-0.3^2)*SQRT(IF(A$6&lt;5,'AS08 Coeffs'!V$27,IF(A$6&lt;=7,'AS08 Coeffs'!V$27+('AS08 Coeffs'!W$27-'AS08 Coeffs'!V$27)*(A$6-5)/2,'AS08 Coeffs'!W$27))^2-0.3^2)*'AS08 Coeffs'!AB22),SQRT(IF(A$6&lt;5,'AS08 Coeffs'!X22,IF(A$6&lt;=7,'AS08 Coeffs'!X22+('AS08 Coeffs'!Y22-'AS08 Coeffs'!X22)*(A$6-5)/2,'AS08 Coeffs'!Y22))^2+E23^2*(IF(A$6&lt;5,'AS08 Coeffs'!X$27,IF(A$6&lt;=7,'AS08 Coeffs'!X$27+('AS08 Coeffs'!Y$27-'AS08 Coeffs'!X$27)*(A$6-5)/2,'AS08 Coeffs'!Y$27))^2-0.3^2)+2*E23*SQRT(IF(A$6&lt;5,'AS08 Coeffs'!X22,IF(A$6&lt;=7,'AS08 Coeffs'!X22+('AS08 Coeffs'!Y22-'AS08 Coeffs'!X22)*(A$6-5)/2,'AS08 Coeffs'!Y22))^2-0.3^2)*SQRT(IF(A$6&lt;5,'AS08 Coeffs'!X$27,IF(A$6&lt;=7,'AS08 Coeffs'!X$27+('AS08 Coeffs'!Y$27-'AS08 Coeffs'!X$27)*(A$6-5)/2,'AS08 Coeffs'!Y$27))^2-0.3^2)*'AS08 Coeffs'!AB22))</f>
        <v>0.5</v>
      </c>
      <c r="M23" s="14">
        <f>SQRT(IF(A$6&lt;5,'AS08 Coeffs'!Z22,IF(A$6&lt;=7,'AS08 Coeffs'!Z22+('AS08 Coeffs'!AA22-'AS08 Coeffs'!Z22)*(A$6-5)/2,'AS08 Coeffs'!AA22))^2+E23^2*IF(A$6&lt;5,'AS08 Coeffs'!Z$27,IF(A$6&lt;=7,'AS08 Coeffs'!Z$27+('AS08 Coeffs'!AA$27-'AS08 Coeffs'!Z$27)*(A$6-5)/2,'AS08 Coeffs'!AA$27))^2+2*E23*IF(A$6&lt;5,'AS08 Coeffs'!Z22,IF(A$6&lt;=7,'AS08 Coeffs'!Z22+('AS08 Coeffs'!AA22-'AS08 Coeffs'!Z22)*(A$6-5)/2,'AS08 Coeffs'!AA22))*IF(A$6&lt;5,'AS08 Coeffs'!Z$27,IF(A$6&lt;=7,'AS08 Coeffs'!Z$27+('AS08 Coeffs'!AA$27-'AS08 Coeffs'!Z$27)*(A$6-5)/2,'AS08 Coeffs'!AA$27))*'AS08 Coeffs'!AB22)</f>
        <v>0.35</v>
      </c>
      <c r="N23" s="14">
        <f t="shared" si="3"/>
        <v>0.61032778078668515</v>
      </c>
      <c r="O23" s="2"/>
    </row>
    <row r="24" spans="1:15" ht="15.75" customHeight="1">
      <c r="A24" s="17">
        <f>Main!$A$34</f>
        <v>0</v>
      </c>
      <c r="B24" s="16"/>
      <c r="C24" s="1"/>
      <c r="D24" s="31">
        <v>4</v>
      </c>
      <c r="E24" s="27">
        <f>IF(A$33&lt;'AS08 Coeffs'!J23,'AS08 Coeffs'!K23*A$54*(1/(A$54+'AS08 Coeffs'!H23*(MIN(A$33,$F24)/'AS08 Coeffs'!J23)^'AS08 Coeffs'!G23)-1/(A$54+'AS08 Coeffs'!H23)),0)</f>
        <v>0</v>
      </c>
      <c r="F24" s="25">
        <f t="shared" si="0"/>
        <v>700</v>
      </c>
      <c r="G24" s="27">
        <f t="shared" si="1"/>
        <v>0.11958374955881942</v>
      </c>
      <c r="H24" s="27">
        <f>IF(A$33&gt;=1000,0,IF((('AS08 Coeffs'!O23+'AS08 Coeffs'!K23*'AS08 Coeffs'!G23)*LN(MIN(A$33,F24)/MIN(1000,F24))+G24*LN((A$36+'AS08 Coeffs'!I23)/(A$48+'AS08 Coeffs'!I23)))&lt;0,-('AS08 Coeffs'!O23+'AS08 Coeffs'!K23*'AS08 Coeffs'!G23)*LN(MIN(A$33,F24)/MIN(1000,F24))/LN((A$36+'AS08 Coeffs'!I23)/(A$48+'AS08 Coeffs'!I23)),G24))</f>
        <v>0.11958374955881942</v>
      </c>
      <c r="I24" s="28">
        <f>EXP('AS08 Coeffs'!L23+IF(A$6&lt;='AS08 Coeffs'!B23,'AS08 Coeffs'!E23,'AS08 Coeffs'!F23)*(A$6-'AS08 Coeffs'!B23)+'AS08 Coeffs'!N23*(8.5-A$6)^2+('AS08 Coeffs'!M23+'AS08 Coeffs'!D23*(A$6-'AS08 Coeffs'!B23))*LN(SQRT(A$9^2+'AS08 Coeffs'!C23^2))+'AS08 Coeffs'!P23*A$18+'AS08 Coeffs'!Q23*A$21+'AS08 Coeffs'!S23*A$45+('AS08 Coeffs'!O23+'AS08 Coeffs'!K23*'AS08 Coeffs'!G23)*LN(MIN(1100,F24)/'AS08 Coeffs'!J23)+A$24*'AS08 Coeffs'!R23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Coeffs'!T23*A$27/10,'AS08 Coeffs'!T23)+IF(A$9&lt;100,0,'AS08 Coeffs'!U23*(A$9-100)*IF(A$6&lt;5.5,1,IF(A$6&lt;=6.5,0.5*(6.5-A$6)+0.5,0.5))))</f>
        <v>3.7242181486673707E-2</v>
      </c>
      <c r="J24" s="28">
        <f t="shared" si="2"/>
        <v>0</v>
      </c>
      <c r="K24" s="28">
        <f>IF(D24&lt;=A$51,I24,SUM(J$6:J$26)*A$51^2/D24^2)*EXP(-('AS08 Coeffs'!O23+'AS08 Coeffs'!K23*'AS08 Coeffs'!G23)*LN(MIN(1100,F24)/'AS08 Coeffs'!J23)+IF(A$33&lt;'AS08 Coeffs'!J23,'AS08 Coeffs'!O23*LN(MIN(A$33,F24)/'AS08 Coeffs'!J23)-'AS08 Coeffs'!K23*LN(A$54+'AS08 Coeffs'!H23)+'AS08 Coeffs'!K23*LN(A$54+'AS08 Coeffs'!H23*(MIN(A$33,F24)/'AS08 Coeffs'!J23)^'AS08 Coeffs'!G23),('AS08 Coeffs'!O23+'AS08 Coeffs'!K23*'AS08 Coeffs'!G23)*LN(MIN(A$33,F24)/'AS08 Coeffs'!J23))+H24*LN((A$36+'AS08 Coeffs'!I23)/(A$48+'AS08 Coeffs'!I23))+IF(A$36&gt;=200,IF(D24&lt;2,0,0.0625*(D24-2))*LN(A$36/200),0))</f>
        <v>3.7242181486673707E-2</v>
      </c>
      <c r="L24" s="14">
        <f>IF(A$42=0,SQRT(IF(A$6&lt;5,'AS08 Coeffs'!V23,IF(A$6&lt;=7,'AS08 Coeffs'!V23+('AS08 Coeffs'!W23-'AS08 Coeffs'!V23)*(A$6-5)/2,'AS08 Coeffs'!W23))^2+E24^2*(IF(A$6&lt;5,'AS08 Coeffs'!V$27,IF(A$6&lt;=7,'AS08 Coeffs'!V$27+('AS08 Coeffs'!W$27-'AS08 Coeffs'!V$27)*(A$6-5)/2,'AS08 Coeffs'!W$27))^2-0.3^2)+2*E24*SQRT(IF(A$6&lt;5,'AS08 Coeffs'!V23,IF(A$6&lt;=7,'AS08 Coeffs'!V23+('AS08 Coeffs'!W23-'AS08 Coeffs'!V23)*(A$6-5)/2,'AS08 Coeffs'!W23))^2-0.3^2)*SQRT(IF(A$6&lt;5,'AS08 Coeffs'!V$27,IF(A$6&lt;=7,'AS08 Coeffs'!V$27+('AS08 Coeffs'!W$27-'AS08 Coeffs'!V$27)*(A$6-5)/2,'AS08 Coeffs'!W$27))^2-0.3^2)*'AS08 Coeffs'!AB23),SQRT(IF(A$6&lt;5,'AS08 Coeffs'!X23,IF(A$6&lt;=7,'AS08 Coeffs'!X23+('AS08 Coeffs'!Y23-'AS08 Coeffs'!X23)*(A$6-5)/2,'AS08 Coeffs'!Y23))^2+E24^2*(IF(A$6&lt;5,'AS08 Coeffs'!X$27,IF(A$6&lt;=7,'AS08 Coeffs'!X$27+('AS08 Coeffs'!Y$27-'AS08 Coeffs'!X$27)*(A$6-5)/2,'AS08 Coeffs'!Y$27))^2-0.3^2)+2*E24*SQRT(IF(A$6&lt;5,'AS08 Coeffs'!X23,IF(A$6&lt;=7,'AS08 Coeffs'!X23+('AS08 Coeffs'!Y23-'AS08 Coeffs'!X23)*(A$6-5)/2,'AS08 Coeffs'!Y23))^2-0.3^2)*SQRT(IF(A$6&lt;5,'AS08 Coeffs'!X$27,IF(A$6&lt;=7,'AS08 Coeffs'!X$27+('AS08 Coeffs'!Y$27-'AS08 Coeffs'!X$27)*(A$6-5)/2,'AS08 Coeffs'!Y$27))^2-0.3^2)*'AS08 Coeffs'!AB23))</f>
        <v>0.505</v>
      </c>
      <c r="M24" s="14">
        <f>SQRT(IF(A$6&lt;5,'AS08 Coeffs'!Z23,IF(A$6&lt;=7,'AS08 Coeffs'!Z23+('AS08 Coeffs'!AA23-'AS08 Coeffs'!Z23)*(A$6-5)/2,'AS08 Coeffs'!AA23))^2+E24^2*IF(A$6&lt;5,'AS08 Coeffs'!Z$27,IF(A$6&lt;=7,'AS08 Coeffs'!Z$27+('AS08 Coeffs'!AA$27-'AS08 Coeffs'!Z$27)*(A$6-5)/2,'AS08 Coeffs'!AA$27))^2+2*E24*IF(A$6&lt;5,'AS08 Coeffs'!Z23,IF(A$6&lt;=7,'AS08 Coeffs'!Z23+('AS08 Coeffs'!AA23-'AS08 Coeffs'!Z23)*(A$6-5)/2,'AS08 Coeffs'!AA23))*IF(A$6&lt;5,'AS08 Coeffs'!Z$27,IF(A$6&lt;=7,'AS08 Coeffs'!Z$27+('AS08 Coeffs'!AA$27-'AS08 Coeffs'!Z$27)*(A$6-5)/2,'AS08 Coeffs'!AA$27))*'AS08 Coeffs'!AB23)</f>
        <v>0.35</v>
      </c>
      <c r="N24" s="14">
        <f t="shared" si="3"/>
        <v>0.61443063074687287</v>
      </c>
      <c r="O24" s="2"/>
    </row>
    <row r="25" spans="1:15" ht="15.75" customHeight="1">
      <c r="A25" s="16"/>
      <c r="B25" s="16"/>
      <c r="C25" s="1"/>
      <c r="D25" s="31">
        <v>5</v>
      </c>
      <c r="E25" s="27">
        <f>IF(A$33&lt;'AS08 Coeffs'!J24,'AS08 Coeffs'!K24*A$54*(1/(A$54+'AS08 Coeffs'!H24*(MIN(A$33,$F25)/'AS08 Coeffs'!J24)^'AS08 Coeffs'!G24)-1/(A$54+'AS08 Coeffs'!H24)),0)</f>
        <v>0</v>
      </c>
      <c r="F25" s="25">
        <f t="shared" si="0"/>
        <v>700</v>
      </c>
      <c r="G25" s="27">
        <f t="shared" si="1"/>
        <v>0.11958374955881942</v>
      </c>
      <c r="H25" s="27">
        <f>IF(A$33&gt;=1000,0,IF((('AS08 Coeffs'!O24+'AS08 Coeffs'!K24*'AS08 Coeffs'!G24)*LN(MIN(A$33,F25)/MIN(1000,F25))+G25*LN((A$36+'AS08 Coeffs'!I24)/(A$48+'AS08 Coeffs'!I24)))&lt;0,-('AS08 Coeffs'!O24+'AS08 Coeffs'!K24*'AS08 Coeffs'!G24)*LN(MIN(A$33,F25)/MIN(1000,F25))/LN((A$36+'AS08 Coeffs'!I24)/(A$48+'AS08 Coeffs'!I24)),G25))</f>
        <v>0.11958374955881942</v>
      </c>
      <c r="I25" s="28">
        <f>EXP('AS08 Coeffs'!L24+IF(A$6&lt;='AS08 Coeffs'!B24,'AS08 Coeffs'!E24,'AS08 Coeffs'!F24)*(A$6-'AS08 Coeffs'!B24)+'AS08 Coeffs'!N24*(8.5-A$6)^2+('AS08 Coeffs'!M24+'AS08 Coeffs'!D24*(A$6-'AS08 Coeffs'!B24))*LN(SQRT(A$9^2+'AS08 Coeffs'!C24^2))+'AS08 Coeffs'!P24*A$18+'AS08 Coeffs'!Q24*A$21+'AS08 Coeffs'!S24*A$45+('AS08 Coeffs'!O24+'AS08 Coeffs'!K24*'AS08 Coeffs'!G24)*LN(MIN(1100,F25)/'AS08 Coeffs'!J24)+A$24*'AS08 Coeffs'!R24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Coeffs'!T24*A$27/10,'AS08 Coeffs'!T24)+IF(A$9&lt;100,0,'AS08 Coeffs'!U24*(A$9-100)*IF(A$6&lt;5.5,1,IF(A$6&lt;=6.5,0.5*(6.5-A$6)+0.5,0.5))))</f>
        <v>2.8191033565289739E-2</v>
      </c>
      <c r="J25" s="28">
        <f t="shared" si="2"/>
        <v>0</v>
      </c>
      <c r="K25" s="28">
        <f>IF(D25&lt;=A$51,I25,SUM(J$6:J$26)*A$51^2/D25^2)*EXP(-('AS08 Coeffs'!O24+'AS08 Coeffs'!K24*'AS08 Coeffs'!G24)*LN(MIN(1100,F25)/'AS08 Coeffs'!J24)+IF(A$33&lt;'AS08 Coeffs'!J24,'AS08 Coeffs'!O24*LN(MIN(A$33,F25)/'AS08 Coeffs'!J24)-'AS08 Coeffs'!K24*LN(A$54+'AS08 Coeffs'!H24)+'AS08 Coeffs'!K24*LN(A$54+'AS08 Coeffs'!H24*(MIN(A$33,F25)/'AS08 Coeffs'!J24)^'AS08 Coeffs'!G24),('AS08 Coeffs'!O24+'AS08 Coeffs'!K24*'AS08 Coeffs'!G24)*LN(MIN(A$33,F25)/'AS08 Coeffs'!J24))+H25*LN((A$36+'AS08 Coeffs'!I24)/(A$48+'AS08 Coeffs'!I24))+IF(A$36&gt;=200,IF(D25&lt;2,0,0.0625*(D25-2))*LN(A$36/200),0))</f>
        <v>2.8191033565289739E-2</v>
      </c>
      <c r="L25" s="14">
        <f>IF(A$42=0,SQRT(IF(A$6&lt;5,'AS08 Coeffs'!V24,IF(A$6&lt;=7,'AS08 Coeffs'!V24+('AS08 Coeffs'!W24-'AS08 Coeffs'!V24)*(A$6-5)/2,'AS08 Coeffs'!W24))^2+E25^2*(IF(A$6&lt;5,'AS08 Coeffs'!V$27,IF(A$6&lt;=7,'AS08 Coeffs'!V$27+('AS08 Coeffs'!W$27-'AS08 Coeffs'!V$27)*(A$6-5)/2,'AS08 Coeffs'!W$27))^2-0.3^2)+2*E25*SQRT(IF(A$6&lt;5,'AS08 Coeffs'!V24,IF(A$6&lt;=7,'AS08 Coeffs'!V24+('AS08 Coeffs'!W24-'AS08 Coeffs'!V24)*(A$6-5)/2,'AS08 Coeffs'!W24))^2-0.3^2)*SQRT(IF(A$6&lt;5,'AS08 Coeffs'!V$27,IF(A$6&lt;=7,'AS08 Coeffs'!V$27+('AS08 Coeffs'!W$27-'AS08 Coeffs'!V$27)*(A$6-5)/2,'AS08 Coeffs'!W$27))^2-0.3^2)*'AS08 Coeffs'!AB24),SQRT(IF(A$6&lt;5,'AS08 Coeffs'!X24,IF(A$6&lt;=7,'AS08 Coeffs'!X24+('AS08 Coeffs'!Y24-'AS08 Coeffs'!X24)*(A$6-5)/2,'AS08 Coeffs'!Y24))^2+E25^2*(IF(A$6&lt;5,'AS08 Coeffs'!X$27,IF(A$6&lt;=7,'AS08 Coeffs'!X$27+('AS08 Coeffs'!Y$27-'AS08 Coeffs'!X$27)*(A$6-5)/2,'AS08 Coeffs'!Y$27))^2-0.3^2)+2*E25*SQRT(IF(A$6&lt;5,'AS08 Coeffs'!X24,IF(A$6&lt;=7,'AS08 Coeffs'!X24+('AS08 Coeffs'!Y24-'AS08 Coeffs'!X24)*(A$6-5)/2,'AS08 Coeffs'!Y24))^2-0.3^2)*SQRT(IF(A$6&lt;5,'AS08 Coeffs'!X$27,IF(A$6&lt;=7,'AS08 Coeffs'!X$27+('AS08 Coeffs'!Y$27-'AS08 Coeffs'!X$27)*(A$6-5)/2,'AS08 Coeffs'!Y$27))^2-0.3^2)*'AS08 Coeffs'!AB24))</f>
        <v>0.52900000000000003</v>
      </c>
      <c r="M25" s="14">
        <f>SQRT(IF(A$6&lt;5,'AS08 Coeffs'!Z24,IF(A$6&lt;=7,'AS08 Coeffs'!Z24+('AS08 Coeffs'!AA24-'AS08 Coeffs'!Z24)*(A$6-5)/2,'AS08 Coeffs'!AA24))^2+E25^2*IF(A$6&lt;5,'AS08 Coeffs'!Z$27,IF(A$6&lt;=7,'AS08 Coeffs'!Z$27+('AS08 Coeffs'!AA$27-'AS08 Coeffs'!Z$27)*(A$6-5)/2,'AS08 Coeffs'!AA$27))^2+2*E25*IF(A$6&lt;5,'AS08 Coeffs'!Z24,IF(A$6&lt;=7,'AS08 Coeffs'!Z24+('AS08 Coeffs'!AA24-'AS08 Coeffs'!Z24)*(A$6-5)/2,'AS08 Coeffs'!AA24))*IF(A$6&lt;5,'AS08 Coeffs'!Z$27,IF(A$6&lt;=7,'AS08 Coeffs'!Z$27+('AS08 Coeffs'!AA$27-'AS08 Coeffs'!Z$27)*(A$6-5)/2,'AS08 Coeffs'!AA$27))*'AS08 Coeffs'!AB24)</f>
        <v>0.35</v>
      </c>
      <c r="N25" s="14">
        <f t="shared" si="3"/>
        <v>0.63430355509014769</v>
      </c>
      <c r="O25" s="2"/>
    </row>
    <row r="26" spans="1:15" ht="15.75" customHeight="1">
      <c r="A26" s="5" t="s">
        <v>83</v>
      </c>
      <c r="B26" s="16"/>
      <c r="C26" s="1"/>
      <c r="D26" s="31">
        <v>7.5</v>
      </c>
      <c r="E26" s="27">
        <f>IF(A$33&lt;'AS08 Coeffs'!J25,'AS08 Coeffs'!K25*A$54*(1/(A$54+'AS08 Coeffs'!H25*(MIN(A$33,$F26)/'AS08 Coeffs'!J25)^'AS08 Coeffs'!G25)-1/(A$54+'AS08 Coeffs'!H25)),0)</f>
        <v>0</v>
      </c>
      <c r="F26" s="25">
        <f t="shared" si="0"/>
        <v>700</v>
      </c>
      <c r="G26" s="27">
        <f t="shared" si="1"/>
        <v>0.11958374955881942</v>
      </c>
      <c r="H26" s="27">
        <f>IF(A$33&gt;=1000,0,IF((('AS08 Coeffs'!O25+'AS08 Coeffs'!K25*'AS08 Coeffs'!G25)*LN(MIN(A$33,F26)/MIN(1000,F26))+G26*LN((A$36+'AS08 Coeffs'!I25)/(A$48+'AS08 Coeffs'!I25)))&lt;0,-('AS08 Coeffs'!O25+'AS08 Coeffs'!K25*'AS08 Coeffs'!G25)*LN(MIN(A$33,F26)/MIN(1000,F26))/LN((A$36+'AS08 Coeffs'!I25)/(A$48+'AS08 Coeffs'!I25)),G26))</f>
        <v>0.11958374955881942</v>
      </c>
      <c r="I26" s="28">
        <f>EXP('AS08 Coeffs'!L25+IF(A$6&lt;='AS08 Coeffs'!B25,'AS08 Coeffs'!E25,'AS08 Coeffs'!F25)*(A$6-'AS08 Coeffs'!B25)+'AS08 Coeffs'!N25*(8.5-A$6)^2+('AS08 Coeffs'!M25+'AS08 Coeffs'!D25*(A$6-'AS08 Coeffs'!B25))*LN(SQRT(A$9^2+'AS08 Coeffs'!C25^2))+'AS08 Coeffs'!P25*A$18+'AS08 Coeffs'!Q25*A$21+'AS08 Coeffs'!S25*A$45+('AS08 Coeffs'!O25+'AS08 Coeffs'!K25*'AS08 Coeffs'!G25)*LN(MIN(1100,F26)/'AS08 Coeffs'!J25)+A$24*'AS08 Coeffs'!R25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Coeffs'!T25*A$27/10,'AS08 Coeffs'!T25)+IF(A$9&lt;100,0,'AS08 Coeffs'!U25*(A$9-100)*IF(A$6&lt;5.5,1,IF(A$6&lt;=6.5,0.5*(6.5-A$6)+0.5,0.5))))</f>
        <v>1.6881933552004031E-2</v>
      </c>
      <c r="J26" s="28">
        <f>IF(AND(D26&lt;=A$51,D27&gt;A$51),1,0)*EXP(LN(I27/I26)/LN(D27/D26)*LN(A$51/D26)+LN(I26))</f>
        <v>0</v>
      </c>
      <c r="K26" s="28">
        <f>IF(D26&lt;=A$51,I26,SUM(J$6:J$26)*A$51^2/D26^2)*EXP(-('AS08 Coeffs'!O25+'AS08 Coeffs'!K25*'AS08 Coeffs'!G25)*LN(MIN(1100,F26)/'AS08 Coeffs'!J25)+IF(A$33&lt;'AS08 Coeffs'!J25,'AS08 Coeffs'!O25*LN(MIN(A$33,F26)/'AS08 Coeffs'!J25)-'AS08 Coeffs'!K25*LN(A$54+'AS08 Coeffs'!H25)+'AS08 Coeffs'!K25*LN(A$54+'AS08 Coeffs'!H25*(MIN(A$33,F26)/'AS08 Coeffs'!J25)^'AS08 Coeffs'!G25),('AS08 Coeffs'!O25+'AS08 Coeffs'!K25*'AS08 Coeffs'!G25)*LN(MIN(A$33,F26)/'AS08 Coeffs'!J25))+H26*LN((A$36+'AS08 Coeffs'!I25)/(A$48+'AS08 Coeffs'!I25))+IF(A$36&gt;=200,IF(D26&lt;2,0,0.0625*(D26-2))*LN(A$36/200),0))</f>
        <v>1.6881933552004031E-2</v>
      </c>
      <c r="L26" s="14">
        <f>IF(A$42=0,SQRT(IF(A$6&lt;5,'AS08 Coeffs'!V25,IF(A$6&lt;=7,'AS08 Coeffs'!V25+('AS08 Coeffs'!W25-'AS08 Coeffs'!V25)*(A$6-5)/2,'AS08 Coeffs'!W25))^2+E26^2*(IF(A$6&lt;5,'AS08 Coeffs'!V$27,IF(A$6&lt;=7,'AS08 Coeffs'!V$27+('AS08 Coeffs'!W$27-'AS08 Coeffs'!V$27)*(A$6-5)/2,'AS08 Coeffs'!W$27))^2-0.3^2)+2*E26*SQRT(IF(A$6&lt;5,'AS08 Coeffs'!V25,IF(A$6&lt;=7,'AS08 Coeffs'!V25+('AS08 Coeffs'!W25-'AS08 Coeffs'!V25)*(A$6-5)/2,'AS08 Coeffs'!W25))^2-0.3^2)*SQRT(IF(A$6&lt;5,'AS08 Coeffs'!V$27,IF(A$6&lt;=7,'AS08 Coeffs'!V$27+('AS08 Coeffs'!W$27-'AS08 Coeffs'!V$27)*(A$6-5)/2,'AS08 Coeffs'!W$27))^2-0.3^2)*'AS08 Coeffs'!AB25),SQRT(IF(A$6&lt;5,'AS08 Coeffs'!X25,IF(A$6&lt;=7,'AS08 Coeffs'!X25+('AS08 Coeffs'!Y25-'AS08 Coeffs'!X25)*(A$6-5)/2,'AS08 Coeffs'!Y25))^2+E26^2*(IF(A$6&lt;5,'AS08 Coeffs'!X$27,IF(A$6&lt;=7,'AS08 Coeffs'!X$27+('AS08 Coeffs'!Y$27-'AS08 Coeffs'!X$27)*(A$6-5)/2,'AS08 Coeffs'!Y$27))^2-0.3^2)+2*E26*SQRT(IF(A$6&lt;5,'AS08 Coeffs'!X25,IF(A$6&lt;=7,'AS08 Coeffs'!X25+('AS08 Coeffs'!Y25-'AS08 Coeffs'!X25)*(A$6-5)/2,'AS08 Coeffs'!Y25))^2-0.3^2)*SQRT(IF(A$6&lt;5,'AS08 Coeffs'!X$27,IF(A$6&lt;=7,'AS08 Coeffs'!X$27+('AS08 Coeffs'!Y$27-'AS08 Coeffs'!X$27)*(A$6-5)/2,'AS08 Coeffs'!Y$27))^2-0.3^2)*'AS08 Coeffs'!AB25))</f>
        <v>0.57899999999999996</v>
      </c>
      <c r="M26" s="14">
        <f>SQRT(IF(A$6&lt;5,'AS08 Coeffs'!Z25,IF(A$6&lt;=7,'AS08 Coeffs'!Z25+('AS08 Coeffs'!AA25-'AS08 Coeffs'!Z25)*(A$6-5)/2,'AS08 Coeffs'!AA25))^2+E26^2*IF(A$6&lt;5,'AS08 Coeffs'!Z$27,IF(A$6&lt;=7,'AS08 Coeffs'!Z$27+('AS08 Coeffs'!AA$27-'AS08 Coeffs'!Z$27)*(A$6-5)/2,'AS08 Coeffs'!AA$27))^2+2*E26*IF(A$6&lt;5,'AS08 Coeffs'!Z25,IF(A$6&lt;=7,'AS08 Coeffs'!Z25+('AS08 Coeffs'!AA25-'AS08 Coeffs'!Z25)*(A$6-5)/2,'AS08 Coeffs'!AA25))*IF(A$6&lt;5,'AS08 Coeffs'!Z$27,IF(A$6&lt;=7,'AS08 Coeffs'!Z$27+('AS08 Coeffs'!AA$27-'AS08 Coeffs'!Z$27)*(A$6-5)/2,'AS08 Coeffs'!AA$27))*'AS08 Coeffs'!AB25)</f>
        <v>0.35</v>
      </c>
      <c r="N26" s="14">
        <f t="shared" si="3"/>
        <v>0.67656559179432108</v>
      </c>
      <c r="O26" s="2"/>
    </row>
    <row r="27" spans="1:15" ht="15.75" customHeight="1">
      <c r="A27" s="25">
        <f>Main!$A$37</f>
        <v>0</v>
      </c>
      <c r="B27" s="16"/>
      <c r="C27" s="1"/>
      <c r="D27" s="31">
        <v>10</v>
      </c>
      <c r="E27" s="27">
        <f>IF(A$33&lt;'AS08 Coeffs'!J26,'AS08 Coeffs'!K26*A$54*(1/(A$54+'AS08 Coeffs'!H26*(MIN(A$33,$F27)/'AS08 Coeffs'!J26)^'AS08 Coeffs'!G26)-1/(A$54+'AS08 Coeffs'!H26)),0)</f>
        <v>0</v>
      </c>
      <c r="F27" s="25">
        <f t="shared" si="0"/>
        <v>700</v>
      </c>
      <c r="G27" s="27">
        <f t="shared" si="1"/>
        <v>0.11958374955881942</v>
      </c>
      <c r="H27" s="27">
        <f>IF(A$33&gt;=1000,0,IF((('AS08 Coeffs'!O26+'AS08 Coeffs'!K26*'AS08 Coeffs'!G26)*LN(MIN(A$33,F27)/MIN(1000,F27))+G27*LN((A$36+'AS08 Coeffs'!I26)/(A$48+'AS08 Coeffs'!I26)))&lt;0,-('AS08 Coeffs'!O26+'AS08 Coeffs'!K26*'AS08 Coeffs'!G26)*LN(MIN(A$33,F27)/MIN(1000,F27))/LN((A$36+'AS08 Coeffs'!I26)/(A$48+'AS08 Coeffs'!I26)),G27))</f>
        <v>0.11958374955881942</v>
      </c>
      <c r="I27" s="28">
        <f>EXP('AS08 Coeffs'!L26+IF(A$6&lt;='AS08 Coeffs'!B26,'AS08 Coeffs'!E26,'AS08 Coeffs'!F26)*(A$6-'AS08 Coeffs'!B26)+'AS08 Coeffs'!N26*(8.5-A$6)^2+('AS08 Coeffs'!M26+'AS08 Coeffs'!D26*(A$6-'AS08 Coeffs'!B26))*LN(SQRT(A$9^2+'AS08 Coeffs'!C26^2))+'AS08 Coeffs'!P26*A$18+'AS08 Coeffs'!Q26*A$21+'AS08 Coeffs'!S26*A$45+('AS08 Coeffs'!O26+'AS08 Coeffs'!K26*'AS08 Coeffs'!G26)*LN(MIN(1100,F27)/'AS08 Coeffs'!J26)+A$24*'AS08 Coeffs'!R26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Coeffs'!T26*A$27/10,'AS08 Coeffs'!T26)+IF(A$9&lt;100,0,'AS08 Coeffs'!U26*(A$9-100)*IF(A$6&lt;5.5,1,IF(A$6&lt;=6.5,0.5*(6.5-A$6)+0.5,0.5))))</f>
        <v>1.1198422485104439E-2</v>
      </c>
      <c r="J27" s="28"/>
      <c r="K27" s="28">
        <f>IF(D27&lt;=A$51,I27,SUM(J$6:J$26)*A$51^2/D27^2)*EXP(-('AS08 Coeffs'!O26+'AS08 Coeffs'!K26*'AS08 Coeffs'!G26)*LN(MIN(1100,F27)/'AS08 Coeffs'!J26)+IF(A$33&lt;'AS08 Coeffs'!J26,'AS08 Coeffs'!O26*LN(MIN(A$33,F27)/'AS08 Coeffs'!J26)-'AS08 Coeffs'!K26*LN(A$54+'AS08 Coeffs'!H26)+'AS08 Coeffs'!K26*LN(A$54+'AS08 Coeffs'!H26*(MIN(A$33,F27)/'AS08 Coeffs'!J26)^'AS08 Coeffs'!G26),('AS08 Coeffs'!O26+'AS08 Coeffs'!K26*'AS08 Coeffs'!G26)*LN(MIN(A$33,F27)/'AS08 Coeffs'!J26))+H27*LN((A$36+'AS08 Coeffs'!I26)/(A$48+'AS08 Coeffs'!I26))+IF(A$36&gt;=200,IF(D27&lt;2,0,0.0625*(D27-2))*LN(A$36/200),0))</f>
        <v>1.1198422485104439E-2</v>
      </c>
      <c r="L27" s="14">
        <f>IF(A$42=0,SQRT(IF(A$6&lt;5,'AS08 Coeffs'!V26,IF(A$6&lt;=7,'AS08 Coeffs'!V26+('AS08 Coeffs'!W26-'AS08 Coeffs'!V26)*(A$6-5)/2,'AS08 Coeffs'!W26))^2+E27^2*(IF(A$6&lt;5,'AS08 Coeffs'!V$27,IF(A$6&lt;=7,'AS08 Coeffs'!V$27+('AS08 Coeffs'!W$27-'AS08 Coeffs'!V$27)*(A$6-5)/2,'AS08 Coeffs'!W$27))^2-0.3^2)+2*E27*SQRT(IF(A$6&lt;5,'AS08 Coeffs'!V26,IF(A$6&lt;=7,'AS08 Coeffs'!V26+('AS08 Coeffs'!W26-'AS08 Coeffs'!V26)*(A$6-5)/2,'AS08 Coeffs'!W26))^2-0.3^2)*SQRT(IF(A$6&lt;5,'AS08 Coeffs'!V$27,IF(A$6&lt;=7,'AS08 Coeffs'!V$27+('AS08 Coeffs'!W$27-'AS08 Coeffs'!V$27)*(A$6-5)/2,'AS08 Coeffs'!W$27))^2-0.3^2)*'AS08 Coeffs'!AB26),SQRT(IF(A$6&lt;5,'AS08 Coeffs'!X26,IF(A$6&lt;=7,'AS08 Coeffs'!X26+('AS08 Coeffs'!Y26-'AS08 Coeffs'!X26)*(A$6-5)/2,'AS08 Coeffs'!Y26))^2+E27^2*(IF(A$6&lt;5,'AS08 Coeffs'!X$27,IF(A$6&lt;=7,'AS08 Coeffs'!X$27+('AS08 Coeffs'!Y$27-'AS08 Coeffs'!X$27)*(A$6-5)/2,'AS08 Coeffs'!Y$27))^2-0.3^2)+2*E27*SQRT(IF(A$6&lt;5,'AS08 Coeffs'!X26,IF(A$6&lt;=7,'AS08 Coeffs'!X26+('AS08 Coeffs'!Y26-'AS08 Coeffs'!X26)*(A$6-5)/2,'AS08 Coeffs'!Y26))^2-0.3^2)*SQRT(IF(A$6&lt;5,'AS08 Coeffs'!X$27,IF(A$6&lt;=7,'AS08 Coeffs'!X$27+('AS08 Coeffs'!Y$27-'AS08 Coeffs'!X$27)*(A$6-5)/2,'AS08 Coeffs'!Y$27))^2-0.3^2)*'AS08 Coeffs'!AB26))</f>
        <v>0.61199999999999999</v>
      </c>
      <c r="M27" s="14">
        <f>SQRT(IF(A$6&lt;5,'AS08 Coeffs'!Z26,IF(A$6&lt;=7,'AS08 Coeffs'!Z26+('AS08 Coeffs'!AA26-'AS08 Coeffs'!Z26)*(A$6-5)/2,'AS08 Coeffs'!AA26))^2+E27^2*IF(A$6&lt;5,'AS08 Coeffs'!Z$27,IF(A$6&lt;=7,'AS08 Coeffs'!Z$27+('AS08 Coeffs'!AA$27-'AS08 Coeffs'!Z$27)*(A$6-5)/2,'AS08 Coeffs'!AA$27))^2+2*E27*IF(A$6&lt;5,'AS08 Coeffs'!Z26,IF(A$6&lt;=7,'AS08 Coeffs'!Z26+('AS08 Coeffs'!AA26-'AS08 Coeffs'!Z26)*(A$6-5)/2,'AS08 Coeffs'!AA26))*IF(A$6&lt;5,'AS08 Coeffs'!Z$27,IF(A$6&lt;=7,'AS08 Coeffs'!Z$27+('AS08 Coeffs'!AA$27-'AS08 Coeffs'!Z$27)*(A$6-5)/2,'AS08 Coeffs'!AA$27))*'AS08 Coeffs'!AB26)</f>
        <v>0.35</v>
      </c>
      <c r="N27" s="14">
        <f t="shared" si="3"/>
        <v>0.70501347504852696</v>
      </c>
      <c r="O27" s="2"/>
    </row>
    <row r="28" spans="1:15" ht="15.75" customHeight="1">
      <c r="A28" s="25"/>
      <c r="B28" s="16"/>
      <c r="C28" s="1"/>
      <c r="D28" s="31"/>
      <c r="E28" s="27"/>
      <c r="F28" s="25"/>
      <c r="G28" s="27"/>
      <c r="H28" s="27"/>
      <c r="I28" s="28"/>
      <c r="J28" s="28"/>
      <c r="K28" s="28"/>
      <c r="L28" s="14"/>
      <c r="M28" s="14"/>
      <c r="N28" s="14"/>
      <c r="O28" s="2"/>
    </row>
    <row r="29" spans="1:15" ht="15.75" customHeight="1">
      <c r="A29" s="5" t="s">
        <v>67</v>
      </c>
      <c r="B29" s="16"/>
      <c r="C29" s="1" t="s">
        <v>31</v>
      </c>
      <c r="D29" s="32">
        <v>0</v>
      </c>
      <c r="E29" s="27">
        <f>IF(A$33&lt;'AS08 Coeffs'!J27,'AS08 Coeffs'!K27*A$54*(1/(A$54+'AS08 Coeffs'!H27*(MIN(A$33,$F29)/'AS08 Coeffs'!J27)^'AS08 Coeffs'!G27)-1/(A$54+'AS08 Coeffs'!H27)),0)</f>
        <v>-1.2862238202828986E-2</v>
      </c>
      <c r="F29" s="25">
        <f>IF(D29=-1,862,IF(D29&lt;=0.5,1500,IF(D29&lt;=1,EXP(8-0.795*LN(D29/0.21)),IF(D29&lt;2,EXP(6.76-0.297*LN(D29)),700))))</f>
        <v>1500</v>
      </c>
      <c r="G29" s="27">
        <f>IF(OR(D29&lt;0.35,A$33&gt;1000),0,IF(D29&lt;=2,-0.25*LN(A$33/1000)*LN(D29/0.35),-0.25*LN(A$33/1000)*LN(2/0.35)))</f>
        <v>0</v>
      </c>
      <c r="H29" s="27">
        <f>IF(A$33&gt;=1000,0,IF((('AS08 Coeffs'!O27+'AS08 Coeffs'!K27*'AS08 Coeffs'!G27)*LN(MIN(A$33,F29)/MIN(1000,F29))+G29*LN((A$36+'AS08 Coeffs'!I27)/(A$48+'AS08 Coeffs'!I27)))&lt;0,-('AS08 Coeffs'!O27+'AS08 Coeffs'!K27*'AS08 Coeffs'!G27)*LN(MIN(A$33,F29)/MIN(1000,F29))/LN((A$36+'AS08 Coeffs'!I27)/(A$48+'AS08 Coeffs'!I27)),G29))</f>
        <v>0</v>
      </c>
      <c r="I29" s="28">
        <f>EXP('AS08 Coeffs'!L27+IF(A$6&lt;='AS08 Coeffs'!B27,'AS08 Coeffs'!E27,'AS08 Coeffs'!F27)*(A$6-'AS08 Coeffs'!B27)+'AS08 Coeffs'!N27*(8.5-A$6)^2+('AS08 Coeffs'!M27+'AS08 Coeffs'!D27*(A$6-'AS08 Coeffs'!B27))*LN(SQRT(A$9^2+'AS08 Coeffs'!C27^2))+'AS08 Coeffs'!P27*A$18+'AS08 Coeffs'!Q27*A$21+'AS08 Coeffs'!S27*A$45+('AS08 Coeffs'!O27+'AS08 Coeffs'!K27*'AS08 Coeffs'!G27)*LN(MIN(1100,F29)/'AS08 Coeffs'!J27)+A$24*'AS08 Coeffs'!R27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Coeffs'!T27*A$27/10,'AS08 Coeffs'!T27)+IF(A$9&lt;100,0,'AS08 Coeffs'!U27*(A$9-100)*IF(A$6&lt;5.5,1,IF(A$6&lt;=6.5,0.5*(6.5-A$6)+0.5,0.5))))</f>
        <v>0.14492441902776268</v>
      </c>
      <c r="J29" s="28"/>
      <c r="K29" s="28">
        <f>IF(D29&lt;=A$51,I29,SUM(J$6:J$26)*A$51^2/D29^2)*EXP(-('AS08 Coeffs'!O27+'AS08 Coeffs'!K27*'AS08 Coeffs'!G27)*LN(MIN(1100,F29)/'AS08 Coeffs'!J27)+IF(A$33&lt;'AS08 Coeffs'!J27,'AS08 Coeffs'!O27*LN(MIN(A$33,F29)/'AS08 Coeffs'!J27)-'AS08 Coeffs'!K27*LN(A$54+'AS08 Coeffs'!H27)+'AS08 Coeffs'!K27*LN(A$54+'AS08 Coeffs'!H27*(MIN(A$33,F29)/'AS08 Coeffs'!J27)^'AS08 Coeffs'!G27),('AS08 Coeffs'!O27+'AS08 Coeffs'!K27*'AS08 Coeffs'!G27)*LN(MIN(A$33,F29)/'AS08 Coeffs'!J27))+H29*LN((A$36+'AS08 Coeffs'!I27)/(A$48+'AS08 Coeffs'!I27))+IF(A$36&gt;=200,IF(D29&lt;2,0,0.0625*(D29-2))*LN(A$36/200),0))</f>
        <v>0.16910241809761745</v>
      </c>
      <c r="L29" s="14">
        <f>IF(A$42=0,SQRT(IF(A$6&lt;5,'AS08 Coeffs'!V27,IF(A$6&lt;=7,'AS08 Coeffs'!V27+('AS08 Coeffs'!W27-'AS08 Coeffs'!V27)*(A$6-5)/2,'AS08 Coeffs'!W27))^2+E29^2*(IF(A$6&lt;5,'AS08 Coeffs'!V$27,IF(A$6&lt;=7,'AS08 Coeffs'!V$27+('AS08 Coeffs'!W$27-'AS08 Coeffs'!V$27)*(A$6-5)/2,'AS08 Coeffs'!W$27))^2-0.3^2)+2*E29*SQRT(IF(A$6&lt;5,'AS08 Coeffs'!V27,IF(A$6&lt;=7,'AS08 Coeffs'!V27+('AS08 Coeffs'!W27-'AS08 Coeffs'!V27)*(A$6-5)/2,'AS08 Coeffs'!W27))^2-0.3^2)*SQRT(IF(A$6&lt;5,'AS08 Coeffs'!V$27,IF(A$6&lt;=7,'AS08 Coeffs'!V$27+('AS08 Coeffs'!W$27-'AS08 Coeffs'!V$27)*(A$6-5)/2,'AS08 Coeffs'!W$27))^2-0.3^2)*'AS08 Coeffs'!AB27),SQRT(IF(A$6&lt;5,'AS08 Coeffs'!X27,IF(A$6&lt;=7,'AS08 Coeffs'!X27+('AS08 Coeffs'!Y27-'AS08 Coeffs'!X27)*(A$6-5)/2,'AS08 Coeffs'!Y27))^2+E29^2*(IF(A$6&lt;5,'AS08 Coeffs'!X$27,IF(A$6&lt;=7,'AS08 Coeffs'!X$27+('AS08 Coeffs'!Y$27-'AS08 Coeffs'!X$27)*(A$6-5)/2,'AS08 Coeffs'!Y$27))^2-0.3^2)+2*E29*SQRT(IF(A$6&lt;5,'AS08 Coeffs'!X27,IF(A$6&lt;=7,'AS08 Coeffs'!X27+('AS08 Coeffs'!Y27-'AS08 Coeffs'!X27)*(A$6-5)/2,'AS08 Coeffs'!Y27))^2-0.3^2)*SQRT(IF(A$6&lt;5,'AS08 Coeffs'!X$27,IF(A$6&lt;=7,'AS08 Coeffs'!X$27+('AS08 Coeffs'!Y$27-'AS08 Coeffs'!X$27)*(A$6-5)/2,'AS08 Coeffs'!Y$27))^2-0.3^2)*'AS08 Coeffs'!AB27))</f>
        <v>0.44973811118125384</v>
      </c>
      <c r="M29" s="14">
        <f>SQRT(IF(A$6&lt;5,'AS08 Coeffs'!Z27,IF(A$6&lt;=7,'AS08 Coeffs'!Z27+('AS08 Coeffs'!AA27-'AS08 Coeffs'!Z27)*(A$6-5)/2,'AS08 Coeffs'!AA27))^2+E29^2*IF(A$6&lt;5,'AS08 Coeffs'!Z$27,IF(A$6&lt;=7,'AS08 Coeffs'!Z$27+('AS08 Coeffs'!AA$27-'AS08 Coeffs'!Z$27)*(A$6-5)/2,'AS08 Coeffs'!AA$27))^2+2*E29*IF(A$6&lt;5,'AS08 Coeffs'!Z27,IF(A$6&lt;=7,'AS08 Coeffs'!Z27+('AS08 Coeffs'!AA27-'AS08 Coeffs'!Z27)*(A$6-5)/2,'AS08 Coeffs'!AA27))*IF(A$6&lt;5,'AS08 Coeffs'!Z$27,IF(A$6&lt;=7,'AS08 Coeffs'!Z$27+('AS08 Coeffs'!AA$27-'AS08 Coeffs'!Z$27)*(A$6-5)/2,'AS08 Coeffs'!AA$27))*'AS08 Coeffs'!AB27)</f>
        <v>0.29614132853915132</v>
      </c>
      <c r="N29" s="14">
        <f t="shared" si="3"/>
        <v>0.53848310569396274</v>
      </c>
      <c r="O29" s="2"/>
    </row>
    <row r="30" spans="1:15" ht="15.75" customHeight="1">
      <c r="A30" s="17">
        <f>Main!$A$40</f>
        <v>90</v>
      </c>
      <c r="B30" s="16"/>
      <c r="C30" s="1" t="s">
        <v>59</v>
      </c>
      <c r="D30" s="32">
        <v>-1</v>
      </c>
      <c r="E30" s="27">
        <f>IF(A$33&lt;'AS08 Coeffs'!J28,'AS08 Coeffs'!K28*A$54*(1/(A$54+'AS08 Coeffs'!H28*(MIN(A$33,$F30)/'AS08 Coeffs'!J28)^'AS08 Coeffs'!G28)-1/(A$54+'AS08 Coeffs'!H28)),0)</f>
        <v>0</v>
      </c>
      <c r="F30" s="25">
        <f>IF(D30=-1,862,IF(D30&lt;=0.5,1500,IF(D30&lt;=1,EXP(8-0.795*LN(D30/0.21)),IF(D30&lt;2,EXP(6.76-0.297*LN(D30)),700))))</f>
        <v>862</v>
      </c>
      <c r="G30" s="27">
        <f>IF(A$33&gt;1000,0,-0.25*LN(A$33/1000)*LN(1/0.35))</f>
        <v>7.2027468098834452E-2</v>
      </c>
      <c r="H30" s="27">
        <f>IF(A$33&gt;=1000,0,IF((('AS08 Coeffs'!O28+'AS08 Coeffs'!K28*'AS08 Coeffs'!G28)*LN(MIN(A$33,F30)/MIN(1000,F30))+G30*LN((A$36+'AS08 Coeffs'!I28)/(A$48+'AS08 Coeffs'!I28)))&lt;0,-('AS08 Coeffs'!O28+'AS08 Coeffs'!K28*'AS08 Coeffs'!G28)*LN(MIN(A$33,F30)/MIN(1000,F30))/LN((A$36+'AS08 Coeffs'!I28)/(A$48+'AS08 Coeffs'!I28)),G30))</f>
        <v>7.2027468098834452E-2</v>
      </c>
      <c r="I30" s="28">
        <f>EXP('AS08 Coeffs'!L28+IF(A$6&lt;='AS08 Coeffs'!B28,'AS08 Coeffs'!E28,'AS08 Coeffs'!F28)*(A$6-'AS08 Coeffs'!B28)+'AS08 Coeffs'!N28*(8.5-A$6)^2+('AS08 Coeffs'!M28+'AS08 Coeffs'!D28*(A$6-'AS08 Coeffs'!B28))*LN(SQRT(A$9^2+'AS08 Coeffs'!C28^2))+'AS08 Coeffs'!P28*A$18+'AS08 Coeffs'!Q28*A$21+'AS08 Coeffs'!S28*A$45+('AS08 Coeffs'!O28+'AS08 Coeffs'!K28*'AS08 Coeffs'!G28)*LN(MIN(1100,F30)/'AS08 Coeffs'!J28)+A$24*'AS08 Coeffs'!R28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Coeffs'!T28*A$27/10,'AS08 Coeffs'!T28)+IF(A$9&lt;100,0,'AS08 Coeffs'!U28*(A$9-100)*IF(A$6&lt;5.5,1,IF(A$6&lt;=6.5,0.5*(6.5-A$6)+0.5,0.5))))</f>
        <v>15.272137289449748</v>
      </c>
      <c r="J30" s="28"/>
      <c r="K30" s="28">
        <f>IF(D30&lt;=A$51,I30,SUM(J$6:J$26)*A$51^2/D30^2)*EXP(-('AS08 Coeffs'!O28+'AS08 Coeffs'!K28*'AS08 Coeffs'!G28)*LN(MIN(1100,F30)/'AS08 Coeffs'!J28)+IF(A$33&lt;'AS08 Coeffs'!J28,'AS08 Coeffs'!O28*LN(MIN(A$33,F30)/'AS08 Coeffs'!J28)-'AS08 Coeffs'!K28*LN(A$54+'AS08 Coeffs'!H28)+'AS08 Coeffs'!K28*LN(A$54+'AS08 Coeffs'!H28*(MIN(A$33,F30)/'AS08 Coeffs'!J28)^'AS08 Coeffs'!G28),('AS08 Coeffs'!O28+'AS08 Coeffs'!K28*'AS08 Coeffs'!G28)*LN(MIN(A$33,F30)/'AS08 Coeffs'!J28))+H30*LN((A$36+'AS08 Coeffs'!I28)/(A$48+'AS08 Coeffs'!I28))+IF(A$36&gt;=200,IF(D30&lt;2,0,0.0625*(D30-2))*LN(A$36/200),0))</f>
        <v>16.822831361893329</v>
      </c>
      <c r="L30" s="14">
        <f>IF(A$42=0,SQRT(IF(A$6&lt;5,'AS08 Coeffs'!V28,IF(A$6&lt;=7,'AS08 Coeffs'!V28+('AS08 Coeffs'!W28-'AS08 Coeffs'!V28)*(A$6-5)/2,'AS08 Coeffs'!W28))^2+E30^2*(IF(A$6&lt;5,'AS08 Coeffs'!V$27,IF(A$6&lt;=7,'AS08 Coeffs'!V$27+('AS08 Coeffs'!W$27-'AS08 Coeffs'!V$27)*(A$6-5)/2,'AS08 Coeffs'!W$27))^2-0.3^2)+2*E30*SQRT(IF(A$6&lt;5,'AS08 Coeffs'!V28,IF(A$6&lt;=7,'AS08 Coeffs'!V28+('AS08 Coeffs'!W28-'AS08 Coeffs'!V28)*(A$6-5)/2,'AS08 Coeffs'!W28))^2-0.3^2)*SQRT(IF(A$6&lt;5,'AS08 Coeffs'!V$27,IF(A$6&lt;=7,'AS08 Coeffs'!V$27+('AS08 Coeffs'!W$27-'AS08 Coeffs'!V$27)*(A$6-5)/2,'AS08 Coeffs'!W$27))^2-0.3^2)*'AS08 Coeffs'!AB28),SQRT(IF(A$6&lt;5,'AS08 Coeffs'!X28,IF(A$6&lt;=7,'AS08 Coeffs'!X28+('AS08 Coeffs'!Y28-'AS08 Coeffs'!X28)*(A$6-5)/2,'AS08 Coeffs'!Y28))^2+E30^2*(IF(A$6&lt;5,'AS08 Coeffs'!X$27,IF(A$6&lt;=7,'AS08 Coeffs'!X$27+('AS08 Coeffs'!Y$27-'AS08 Coeffs'!X$27)*(A$6-5)/2,'AS08 Coeffs'!Y$27))^2-0.3^2)+2*E30*SQRT(IF(A$6&lt;5,'AS08 Coeffs'!X28,IF(A$6&lt;=7,'AS08 Coeffs'!X28+('AS08 Coeffs'!Y28-'AS08 Coeffs'!X28)*(A$6-5)/2,'AS08 Coeffs'!Y28))^2-0.3^2)*SQRT(IF(A$6&lt;5,'AS08 Coeffs'!X$27,IF(A$6&lt;=7,'AS08 Coeffs'!X$27+('AS08 Coeffs'!Y$27-'AS08 Coeffs'!X$27)*(A$6-5)/2,'AS08 Coeffs'!Y$27))^2-0.3^2)*'AS08 Coeffs'!AB28))</f>
        <v>0.45300000000000001</v>
      </c>
      <c r="M30" s="14">
        <f>SQRT(IF(A$6&lt;5,'AS08 Coeffs'!Z28,IF(A$6&lt;=7,'AS08 Coeffs'!Z28+('AS08 Coeffs'!AA28-'AS08 Coeffs'!Z28)*(A$6-5)/2,'AS08 Coeffs'!AA28))^2+E30^2*IF(A$6&lt;5,'AS08 Coeffs'!Z$27,IF(A$6&lt;=7,'AS08 Coeffs'!Z$27+('AS08 Coeffs'!AA$27-'AS08 Coeffs'!Z$27)*(A$6-5)/2,'AS08 Coeffs'!AA$27))^2+2*E30*IF(A$6&lt;5,'AS08 Coeffs'!Z28,IF(A$6&lt;=7,'AS08 Coeffs'!Z28+('AS08 Coeffs'!AA28-'AS08 Coeffs'!Z28)*(A$6-5)/2,'AS08 Coeffs'!AA28))*IF(A$6&lt;5,'AS08 Coeffs'!Z$27,IF(A$6&lt;=7,'AS08 Coeffs'!Z$27+('AS08 Coeffs'!AA$27-'AS08 Coeffs'!Z$27)*(A$6-5)/2,'AS08 Coeffs'!AA$27))*'AS08 Coeffs'!AB28)</f>
        <v>0.3</v>
      </c>
      <c r="N30" s="14">
        <f t="shared" si="3"/>
        <v>0.5433313905895738</v>
      </c>
      <c r="O30" s="2"/>
    </row>
    <row r="31" spans="1:15" ht="15.75" customHeight="1">
      <c r="A31" s="17"/>
      <c r="B31" s="16"/>
      <c r="C31" s="1"/>
      <c r="D31" s="32"/>
      <c r="E31" s="32"/>
      <c r="F31" s="27"/>
      <c r="G31" s="27"/>
      <c r="H31" s="27"/>
      <c r="I31" s="27"/>
      <c r="J31" s="27"/>
      <c r="K31" s="27"/>
      <c r="L31" s="2"/>
      <c r="M31" s="2"/>
      <c r="N31" s="2"/>
      <c r="O31" s="2"/>
    </row>
    <row r="32" spans="1:15" ht="15.75" customHeight="1">
      <c r="A32" s="5" t="s">
        <v>84</v>
      </c>
      <c r="C32" s="1"/>
      <c r="D32" s="32"/>
      <c r="E32" s="32"/>
      <c r="F32" s="32"/>
      <c r="G32" s="32"/>
      <c r="H32" s="32"/>
      <c r="I32" s="32"/>
      <c r="J32" s="32"/>
      <c r="K32" s="27"/>
      <c r="L32" s="2"/>
      <c r="M32" s="2"/>
      <c r="N32" s="2"/>
      <c r="O32" s="2"/>
    </row>
    <row r="33" spans="1:19" ht="15.75" customHeight="1">
      <c r="A33" s="17">
        <f>IF(Main!$A$43&gt;1500,1500,Main!$A$43)</f>
        <v>760</v>
      </c>
      <c r="F33" s="33"/>
      <c r="G33" s="33"/>
      <c r="H33" s="33"/>
      <c r="I33" s="33"/>
      <c r="J33" s="33"/>
      <c r="K33" s="27"/>
      <c r="L33" s="2"/>
      <c r="M33" s="2"/>
      <c r="N33" s="2"/>
      <c r="O33" s="2"/>
    </row>
    <row r="34" spans="1:19" ht="15.75" customHeight="1">
      <c r="A34" s="17"/>
      <c r="B34" s="29"/>
      <c r="E34" s="34"/>
      <c r="F34" s="35"/>
      <c r="G34" s="33"/>
      <c r="H34" s="33"/>
      <c r="I34" s="33"/>
      <c r="J34" s="28"/>
      <c r="K34" s="27"/>
      <c r="L34" s="2"/>
      <c r="M34" s="2"/>
      <c r="N34" s="2"/>
      <c r="O34" s="2"/>
    </row>
    <row r="35" spans="1:19" ht="15.75" customHeight="1">
      <c r="A35" s="5" t="s">
        <v>85</v>
      </c>
      <c r="B35" s="36"/>
      <c r="C35" s="16"/>
      <c r="O35" s="2"/>
    </row>
    <row r="36" spans="1:19" ht="15.75" customHeight="1">
      <c r="A36" s="17">
        <f>IF(Main!$A$49="DEFAULT",IF(A33&lt;180,EXP(6.745),IF(A33&lt;=500,EXP(6.745-1.35*LN(A33/180)),EXP(5.394-4.48*LN(A33/500)))),Main!$A$49)</f>
        <v>33.722919155529524</v>
      </c>
      <c r="B36" s="36"/>
      <c r="C36" s="16"/>
      <c r="O36" s="2"/>
    </row>
    <row r="37" spans="1:19" ht="15.75" customHeight="1">
      <c r="A37" s="17"/>
      <c r="B37" s="37"/>
      <c r="C37" s="16"/>
      <c r="O37" s="2"/>
    </row>
    <row r="38" spans="1:19" ht="15.75" customHeight="1">
      <c r="A38" s="5" t="s">
        <v>46</v>
      </c>
      <c r="B38" s="37"/>
      <c r="C38" s="16"/>
      <c r="O38" s="2"/>
    </row>
    <row r="39" spans="1:19" ht="15.75" customHeight="1">
      <c r="A39" s="25">
        <f>Main!$A$55</f>
        <v>15</v>
      </c>
      <c r="B39" s="37"/>
      <c r="C39" s="16"/>
      <c r="O39" s="2"/>
      <c r="R39" s="4"/>
      <c r="S39" s="4"/>
    </row>
    <row r="40" spans="1:19" ht="15.75" customHeight="1">
      <c r="A40" s="17"/>
      <c r="B40" s="38"/>
      <c r="C40" s="16"/>
      <c r="O40" s="2"/>
      <c r="R40" s="4"/>
      <c r="S40" s="4"/>
    </row>
    <row r="41" spans="1:19" ht="15.75" customHeight="1">
      <c r="A41" s="5" t="s">
        <v>86</v>
      </c>
      <c r="B41" s="37"/>
      <c r="C41" s="16"/>
      <c r="O41" s="2"/>
      <c r="P41" s="13"/>
      <c r="Q41" s="13"/>
      <c r="R41" s="14"/>
      <c r="S41" s="14"/>
    </row>
    <row r="42" spans="1:19" ht="15.75" customHeight="1">
      <c r="A42" s="17">
        <f>Main!$A$46</f>
        <v>1</v>
      </c>
      <c r="B42" s="37"/>
      <c r="C42" s="16"/>
      <c r="O42" s="2"/>
      <c r="P42" s="13"/>
      <c r="Q42" s="13"/>
      <c r="R42" s="14"/>
      <c r="S42" s="14"/>
    </row>
    <row r="43" spans="1:19" ht="15.75" customHeight="1">
      <c r="A43" s="17"/>
      <c r="B43" s="37"/>
      <c r="C43" s="16"/>
      <c r="O43" s="2"/>
      <c r="P43" s="13"/>
      <c r="Q43" s="13"/>
      <c r="R43" s="14"/>
      <c r="S43" s="14"/>
    </row>
    <row r="44" spans="1:19" ht="15.75" customHeight="1">
      <c r="A44" s="5" t="s">
        <v>87</v>
      </c>
      <c r="B44" s="37"/>
      <c r="C44" s="16"/>
      <c r="O44" s="2"/>
      <c r="P44" s="13"/>
      <c r="Q44" s="13"/>
      <c r="R44" s="14"/>
      <c r="S44" s="14"/>
    </row>
    <row r="45" spans="1:19" ht="15.75" customHeight="1">
      <c r="A45" s="39">
        <f>Main!$A$58</f>
        <v>0</v>
      </c>
      <c r="B45" s="37"/>
      <c r="C45" s="16"/>
      <c r="O45" s="2"/>
    </row>
    <row r="46" spans="1:19" ht="15.75" customHeight="1">
      <c r="A46" s="39"/>
      <c r="B46" s="37"/>
    </row>
    <row r="47" spans="1:19" ht="15.75" customHeight="1">
      <c r="A47" s="20" t="s">
        <v>88</v>
      </c>
      <c r="B47" s="37"/>
    </row>
    <row r="48" spans="1:19" ht="15.75" customHeight="1">
      <c r="A48" s="27">
        <f>EXP(IF(A$33&lt;180,6.745,IF(A$33&lt;=500,6.745-1.35*LN(A$33/180),5.394-4.48*LN(A$33/500))))</f>
        <v>33.722919155529524</v>
      </c>
      <c r="B48" s="37"/>
    </row>
    <row r="49" spans="1:2" ht="15.75" customHeight="1">
      <c r="A49" s="27"/>
      <c r="B49" s="37"/>
    </row>
    <row r="50" spans="1:2" ht="15.75" customHeight="1">
      <c r="A50" s="5" t="s">
        <v>89</v>
      </c>
      <c r="B50" s="37"/>
    </row>
    <row r="51" spans="1:2" ht="15.75" customHeight="1">
      <c r="A51" s="27">
        <f>10^(-1.25+0.3*$A$6)</f>
        <v>14.125375446227544</v>
      </c>
      <c r="B51" s="37"/>
    </row>
    <row r="52" spans="1:2" ht="15.75" customHeight="1">
      <c r="A52" s="27"/>
      <c r="B52" s="37"/>
    </row>
    <row r="53" spans="1:2" ht="15.75" customHeight="1">
      <c r="A53" s="20" t="s">
        <v>90</v>
      </c>
      <c r="B53" s="37"/>
    </row>
    <row r="54" spans="1:2" ht="15.75" customHeight="1">
      <c r="A54" s="28">
        <f>EXP('AS08 Coeffs'!L27+IF(A$6&lt;='AS08 Coeffs'!B27,'AS08 Coeffs'!E27,'AS08 Coeffs'!F27)*(A$6-'AS08 Coeffs'!B27)+'AS08 Coeffs'!N27*(8.5-A$6)^2+('AS08 Coeffs'!M27+'AS08 Coeffs'!D27*(A$6-'AS08 Coeffs'!B27))*LN(SQRT(A$9^2+'AS08 Coeffs'!C27^2))+'AS08 Coeffs'!P27*A$18+'AS08 Coeffs'!Q27*A$21+'AS08 Coeffs'!S27*A$45+('AS08 Coeffs'!O27+'AS08 Coeffs'!K27*'AS08 Coeffs'!G27)*LN(1100/'AS08 Coeffs'!J27)+A$24*'AS08 Coeffs'!R27*IF(A$12&lt;30,1-A$12/30,0)*IF(A$15&lt;=A$39*COS(A$30*PI()/180),0.5+A$15/(2*A$39*COS(A$30*PI()/180)),IF(OR(A$15&gt;A$39*COS(A$30*PI()/180),A$30=90),1))*IF(A$15&gt;=A$27,1,A$15/A$27)*IF(A$6&lt;=6,0,IF(A$6&lt;7,A$6-6,1))*IF(A$57=1,IF(A$30&gt;=30,1-(A$30-30)/60,1),IF(A$30&gt;=70,1-(A$30-70)/20,1))+IF(A$27&lt;10,'AS08 Coeffs'!T27*A$27/10,'AS08 Coeffs'!T27)+IF(A$9&lt;100,0,'AS08 Coeffs'!U27*(A$9-100)*IF(A$6&lt;5.5,1,IF(A$6&lt;=6.5,0.5*(6.5-A$6)+0.5,0.5))))</f>
        <v>0.14492441902776268</v>
      </c>
      <c r="B54" s="37"/>
    </row>
    <row r="55" spans="1:2" ht="15.75" customHeight="1">
      <c r="A55" s="28"/>
      <c r="B55" s="37"/>
    </row>
    <row r="56" spans="1:2" ht="15.75" customHeight="1">
      <c r="A56" s="102" t="s">
        <v>287</v>
      </c>
      <c r="B56" s="73" t="s">
        <v>290</v>
      </c>
    </row>
    <row r="57" spans="1:2" ht="15.75" customHeight="1">
      <c r="A57" s="104">
        <f>Main!A61</f>
        <v>1</v>
      </c>
      <c r="B57" s="73" t="s">
        <v>291</v>
      </c>
    </row>
    <row r="58" spans="1:2" ht="15.75" customHeight="1">
      <c r="A58" s="39"/>
      <c r="B58" s="37"/>
    </row>
    <row r="59" spans="1:2" ht="15.75" customHeight="1">
      <c r="A59" s="40" t="s">
        <v>34</v>
      </c>
      <c r="B59" s="37"/>
    </row>
    <row r="60" spans="1:2" ht="15.75" customHeight="1">
      <c r="B60" s="37"/>
    </row>
    <row r="61" spans="1:2" ht="15.75" customHeight="1">
      <c r="A61" s="41" t="s">
        <v>50</v>
      </c>
      <c r="B61" s="37" t="s">
        <v>39</v>
      </c>
    </row>
    <row r="62" spans="1:2" ht="15.75" customHeight="1">
      <c r="A62" s="41" t="s">
        <v>35</v>
      </c>
      <c r="B62" s="37" t="s">
        <v>36</v>
      </c>
    </row>
    <row r="63" spans="1:2" ht="15.75" customHeight="1">
      <c r="A63" s="41" t="s">
        <v>61</v>
      </c>
      <c r="B63" s="37" t="s">
        <v>65</v>
      </c>
    </row>
    <row r="64" spans="1:2" ht="15.75" customHeight="1">
      <c r="A64" s="42" t="s">
        <v>45</v>
      </c>
      <c r="B64" s="37" t="s">
        <v>37</v>
      </c>
    </row>
    <row r="65" spans="1:2" ht="15.75" customHeight="1">
      <c r="A65" s="43" t="s">
        <v>91</v>
      </c>
      <c r="B65" s="37" t="s">
        <v>40</v>
      </c>
    </row>
    <row r="66" spans="1:2" ht="15.75" customHeight="1">
      <c r="A66" s="43" t="s">
        <v>92</v>
      </c>
      <c r="B66" s="37" t="s">
        <v>41</v>
      </c>
    </row>
    <row r="67" spans="1:2" ht="15.75" customHeight="1">
      <c r="A67" s="43" t="s">
        <v>93</v>
      </c>
      <c r="B67" s="37" t="s">
        <v>51</v>
      </c>
    </row>
    <row r="68" spans="1:2" ht="15.75" customHeight="1">
      <c r="A68" s="43" t="s">
        <v>94</v>
      </c>
      <c r="B68" s="37" t="s">
        <v>42</v>
      </c>
    </row>
    <row r="69" spans="1:2" ht="15.75" customHeight="1">
      <c r="A69" s="43" t="s">
        <v>95</v>
      </c>
      <c r="B69" s="37" t="s">
        <v>53</v>
      </c>
    </row>
    <row r="70" spans="1:2" ht="15.75" customHeight="1">
      <c r="A70" s="43" t="s">
        <v>96</v>
      </c>
      <c r="B70" s="37" t="s">
        <v>52</v>
      </c>
    </row>
    <row r="71" spans="1:2" ht="15.75" customHeight="1">
      <c r="A71" s="43" t="s">
        <v>97</v>
      </c>
      <c r="B71" s="37" t="s">
        <v>38</v>
      </c>
    </row>
    <row r="72" spans="1:2" ht="15.75" customHeight="1">
      <c r="A72" s="44" t="s">
        <v>56</v>
      </c>
      <c r="B72" s="37" t="s">
        <v>43</v>
      </c>
    </row>
    <row r="73" spans="1:2" ht="15.75" customHeight="1">
      <c r="A73" s="43" t="s">
        <v>98</v>
      </c>
      <c r="B73" s="37" t="s">
        <v>44</v>
      </c>
    </row>
    <row r="74" spans="1:2" ht="15.75" customHeight="1">
      <c r="A74" s="43" t="s">
        <v>99</v>
      </c>
      <c r="B74" s="37" t="s">
        <v>57</v>
      </c>
    </row>
    <row r="75" spans="1:2" ht="15.75" customHeight="1">
      <c r="A75" s="43" t="s">
        <v>62</v>
      </c>
      <c r="B75" s="37" t="s">
        <v>63</v>
      </c>
    </row>
    <row r="76" spans="1:2" ht="15.75" customHeight="1">
      <c r="A76" s="43" t="s">
        <v>100</v>
      </c>
      <c r="B76" s="37" t="s">
        <v>58</v>
      </c>
    </row>
    <row r="77" spans="1:2" ht="15.75" customHeight="1">
      <c r="A77" s="43" t="s">
        <v>54</v>
      </c>
      <c r="B77" s="37" t="s">
        <v>55</v>
      </c>
    </row>
    <row r="78" spans="1:2" ht="15.75" customHeight="1">
      <c r="A78" s="43" t="s">
        <v>101</v>
      </c>
      <c r="B78" s="37" t="s">
        <v>66</v>
      </c>
    </row>
    <row r="79" spans="1:2" ht="15.75" customHeight="1">
      <c r="A79" s="45" t="s">
        <v>102</v>
      </c>
      <c r="B79" s="37" t="s">
        <v>64</v>
      </c>
    </row>
  </sheetData>
  <sheetProtection sheet="1" deleteColumns="0" deleteRows="0" sort="0"/>
  <mergeCells count="1">
    <mergeCell ref="C3:N3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7"/>
  <sheetViews>
    <sheetView topLeftCell="K1" workbookViewId="0">
      <selection activeCell="AC18" sqref="AC18"/>
    </sheetView>
  </sheetViews>
  <sheetFormatPr defaultRowHeight="12.75"/>
  <cols>
    <col min="1" max="1" width="9.140625" style="4"/>
    <col min="2" max="7" width="9.140625" style="2"/>
    <col min="8" max="8" width="9.140625" style="3"/>
    <col min="9" max="12" width="9.140625" style="2"/>
    <col min="13" max="13" width="9.140625" style="4"/>
    <col min="14" max="15" width="9.140625" style="2"/>
    <col min="16" max="20" width="9.140625" style="4"/>
    <col min="22" max="22" width="9.140625" style="2"/>
  </cols>
  <sheetData>
    <row r="1" spans="1:29" ht="15.75" customHeight="1">
      <c r="A1" s="15" t="s">
        <v>103</v>
      </c>
    </row>
    <row r="2" spans="1:29" ht="15.75" customHeight="1">
      <c r="A2" s="1"/>
    </row>
    <row r="3" spans="1:29" ht="15.75" customHeight="1">
      <c r="A3" s="5" t="s">
        <v>1</v>
      </c>
      <c r="B3" s="6" t="s">
        <v>104</v>
      </c>
      <c r="C3" s="6" t="s">
        <v>72</v>
      </c>
      <c r="D3" s="6" t="s">
        <v>105</v>
      </c>
      <c r="E3" s="6" t="s">
        <v>106</v>
      </c>
      <c r="F3" s="6" t="s">
        <v>107</v>
      </c>
      <c r="G3" s="6" t="s">
        <v>108</v>
      </c>
      <c r="H3" s="6" t="s">
        <v>109</v>
      </c>
      <c r="I3" s="6" t="s">
        <v>110</v>
      </c>
      <c r="J3" s="6" t="s">
        <v>2</v>
      </c>
      <c r="K3" s="6" t="s">
        <v>9</v>
      </c>
      <c r="L3" s="6" t="s">
        <v>111</v>
      </c>
      <c r="M3" s="5" t="s">
        <v>112</v>
      </c>
      <c r="N3" s="6" t="s">
        <v>113</v>
      </c>
      <c r="O3" s="6" t="s">
        <v>114</v>
      </c>
      <c r="P3" s="5" t="s">
        <v>115</v>
      </c>
      <c r="Q3" s="5" t="s">
        <v>116</v>
      </c>
      <c r="R3" s="6" t="s">
        <v>117</v>
      </c>
      <c r="S3" s="6" t="s">
        <v>118</v>
      </c>
      <c r="T3" s="5" t="s">
        <v>71</v>
      </c>
      <c r="U3" s="5" t="s">
        <v>119</v>
      </c>
      <c r="V3" s="6" t="s">
        <v>12</v>
      </c>
      <c r="W3" s="5" t="s">
        <v>120</v>
      </c>
      <c r="X3" s="6" t="s">
        <v>13</v>
      </c>
      <c r="Y3" s="46" t="s">
        <v>60</v>
      </c>
      <c r="Z3" s="46" t="s">
        <v>121</v>
      </c>
      <c r="AA3" s="46" t="s">
        <v>122</v>
      </c>
      <c r="AB3" s="46" t="s">
        <v>123</v>
      </c>
      <c r="AC3" s="46" t="s">
        <v>124</v>
      </c>
    </row>
    <row r="4" spans="1:29" ht="15.75" customHeight="1"/>
    <row r="5" spans="1:29" ht="15.75" customHeight="1">
      <c r="A5" s="2">
        <v>0.01</v>
      </c>
      <c r="B5" s="47">
        <v>-0.52883000000000002</v>
      </c>
      <c r="C5" s="47">
        <v>-0.49429000000000001</v>
      </c>
      <c r="D5" s="47">
        <v>-0.74551000000000001</v>
      </c>
      <c r="E5" s="47">
        <v>-0.49965999999999999</v>
      </c>
      <c r="F5" s="47">
        <v>0.28897</v>
      </c>
      <c r="G5" s="47">
        <v>-0.10019</v>
      </c>
      <c r="H5" s="47">
        <v>0</v>
      </c>
      <c r="I5" s="3">
        <v>6.75</v>
      </c>
      <c r="J5" s="47">
        <v>-0.66220000000000001</v>
      </c>
      <c r="K5" s="47">
        <v>0.12</v>
      </c>
      <c r="L5" s="47">
        <v>-1.1509999999999999E-2</v>
      </c>
      <c r="M5" s="4">
        <v>4.5</v>
      </c>
      <c r="N5" s="13">
        <v>1</v>
      </c>
      <c r="O5" s="3">
        <v>1.35</v>
      </c>
      <c r="P5" s="2">
        <v>-0.36</v>
      </c>
      <c r="Q5" s="4">
        <v>760</v>
      </c>
      <c r="R5" s="2">
        <v>-0.64</v>
      </c>
      <c r="S5" s="3">
        <v>-0.14000000000000001</v>
      </c>
      <c r="T5" s="4">
        <v>180</v>
      </c>
      <c r="U5" s="4">
        <v>300</v>
      </c>
      <c r="V5" s="3">
        <v>0.03</v>
      </c>
      <c r="W5" s="3">
        <v>0.06</v>
      </c>
      <c r="X5" s="3">
        <v>0.09</v>
      </c>
      <c r="Y5" s="2">
        <v>0.502</v>
      </c>
      <c r="Z5" s="2">
        <v>0.26700000000000002</v>
      </c>
      <c r="AA5" s="2">
        <v>0.56899999999999995</v>
      </c>
      <c r="AB5" s="2">
        <v>0.26200000000000001</v>
      </c>
      <c r="AC5" s="2">
        <v>0.56599999999999995</v>
      </c>
    </row>
    <row r="6" spans="1:29" ht="15.75" customHeight="1">
      <c r="A6" s="2">
        <v>0.02</v>
      </c>
      <c r="B6" s="47">
        <v>-0.52192000000000005</v>
      </c>
      <c r="C6" s="47">
        <v>-0.48508000000000001</v>
      </c>
      <c r="D6" s="47">
        <v>-0.73906000000000005</v>
      </c>
      <c r="E6" s="47">
        <v>-0.48895</v>
      </c>
      <c r="F6" s="47">
        <v>0.25144</v>
      </c>
      <c r="G6" s="47">
        <v>-0.11006000000000001</v>
      </c>
      <c r="H6" s="47">
        <v>0</v>
      </c>
      <c r="I6" s="3">
        <v>6.75</v>
      </c>
      <c r="J6" s="47">
        <v>-0.66600000000000004</v>
      </c>
      <c r="K6" s="47">
        <v>0.12280000000000001</v>
      </c>
      <c r="L6" s="47">
        <v>-1.1509999999999999E-2</v>
      </c>
      <c r="M6" s="4">
        <v>4.5</v>
      </c>
      <c r="N6" s="13">
        <v>1</v>
      </c>
      <c r="O6" s="3">
        <v>1.35</v>
      </c>
      <c r="P6" s="2">
        <v>-0.34</v>
      </c>
      <c r="Q6" s="4">
        <v>760</v>
      </c>
      <c r="R6" s="2">
        <v>-0.63</v>
      </c>
      <c r="S6" s="3">
        <v>-0.12</v>
      </c>
      <c r="T6" s="4">
        <v>180</v>
      </c>
      <c r="U6" s="4">
        <v>300</v>
      </c>
      <c r="V6" s="3">
        <v>0.03</v>
      </c>
      <c r="W6" s="3">
        <v>0.06</v>
      </c>
      <c r="X6" s="3">
        <v>0.09</v>
      </c>
      <c r="Y6" s="2">
        <v>0.502</v>
      </c>
      <c r="Z6" s="2">
        <v>0.26700000000000002</v>
      </c>
      <c r="AA6" s="2">
        <v>0.56899999999999995</v>
      </c>
      <c r="AB6" s="2">
        <v>0.26200000000000001</v>
      </c>
      <c r="AC6" s="2">
        <v>0.56599999999999995</v>
      </c>
    </row>
    <row r="7" spans="1:29" ht="15.75" customHeight="1">
      <c r="A7" s="2">
        <v>0.03</v>
      </c>
      <c r="B7" s="47">
        <v>-0.45284999999999997</v>
      </c>
      <c r="C7" s="47">
        <v>-0.41831000000000002</v>
      </c>
      <c r="D7" s="47">
        <v>-0.66722000000000004</v>
      </c>
      <c r="E7" s="47">
        <v>-0.42229</v>
      </c>
      <c r="F7" s="47">
        <v>0.17976</v>
      </c>
      <c r="G7" s="47">
        <v>-0.12858</v>
      </c>
      <c r="H7" s="47">
        <v>0</v>
      </c>
      <c r="I7" s="3">
        <v>6.75</v>
      </c>
      <c r="J7" s="47">
        <v>-0.69010000000000005</v>
      </c>
      <c r="K7" s="47">
        <v>0.1283</v>
      </c>
      <c r="L7" s="47">
        <v>-1.1509999999999999E-2</v>
      </c>
      <c r="M7" s="4">
        <v>4.5</v>
      </c>
      <c r="N7" s="13">
        <v>1</v>
      </c>
      <c r="O7" s="3">
        <v>1.35</v>
      </c>
      <c r="P7" s="2">
        <v>-0.33</v>
      </c>
      <c r="Q7" s="4">
        <v>760</v>
      </c>
      <c r="R7" s="2">
        <v>-0.62</v>
      </c>
      <c r="S7" s="3">
        <v>-0.11</v>
      </c>
      <c r="T7" s="4">
        <v>180</v>
      </c>
      <c r="U7" s="4">
        <v>300</v>
      </c>
      <c r="V7" s="3">
        <v>0.03</v>
      </c>
      <c r="W7" s="3">
        <v>0.06</v>
      </c>
      <c r="X7" s="3">
        <v>0.09</v>
      </c>
      <c r="Y7" s="2">
        <v>0.50700000000000001</v>
      </c>
      <c r="Z7" s="2">
        <v>0.27600000000000002</v>
      </c>
      <c r="AA7" s="2">
        <v>0.57799999999999996</v>
      </c>
      <c r="AB7" s="2">
        <v>0.27400000000000002</v>
      </c>
      <c r="AC7" s="2">
        <v>0.57599999999999996</v>
      </c>
    </row>
    <row r="8" spans="1:29" ht="15.75" customHeight="1">
      <c r="A8" s="2">
        <v>0.05</v>
      </c>
      <c r="B8" s="47">
        <v>-0.28476000000000001</v>
      </c>
      <c r="C8" s="47">
        <v>-0.25022</v>
      </c>
      <c r="D8" s="47">
        <v>-0.48462</v>
      </c>
      <c r="E8" s="47">
        <v>-0.26091999999999999</v>
      </c>
      <c r="F8" s="47">
        <v>6.3689999999999997E-2</v>
      </c>
      <c r="G8" s="47">
        <v>-0.15751999999999999</v>
      </c>
      <c r="H8" s="47">
        <v>0</v>
      </c>
      <c r="I8" s="3">
        <v>6.75</v>
      </c>
      <c r="J8" s="47">
        <v>-0.71699999999999997</v>
      </c>
      <c r="K8" s="47">
        <v>0.13170000000000001</v>
      </c>
      <c r="L8" s="47">
        <v>-1.1509999999999999E-2</v>
      </c>
      <c r="M8" s="4">
        <v>4.5</v>
      </c>
      <c r="N8" s="13">
        <v>1</v>
      </c>
      <c r="O8" s="3">
        <v>1.35</v>
      </c>
      <c r="P8" s="2">
        <v>-0.28999999999999998</v>
      </c>
      <c r="Q8" s="4">
        <v>760</v>
      </c>
      <c r="R8" s="2">
        <v>-0.64</v>
      </c>
      <c r="S8" s="3">
        <v>-0.11</v>
      </c>
      <c r="T8" s="4">
        <v>180</v>
      </c>
      <c r="U8" s="4">
        <v>300</v>
      </c>
      <c r="V8" s="3">
        <v>0.03</v>
      </c>
      <c r="W8" s="3">
        <v>0.06</v>
      </c>
      <c r="X8" s="3">
        <v>0.09</v>
      </c>
      <c r="Y8" s="2">
        <v>0.51600000000000001</v>
      </c>
      <c r="Z8" s="2">
        <v>0.28599999999999998</v>
      </c>
      <c r="AA8" s="2">
        <v>0.58899999999999997</v>
      </c>
      <c r="AB8" s="2">
        <v>0.28599999999999998</v>
      </c>
      <c r="AC8" s="2">
        <v>0.58899999999999997</v>
      </c>
    </row>
    <row r="9" spans="1:29" ht="15.75" customHeight="1">
      <c r="A9" s="2">
        <v>7.4999999999999997E-2</v>
      </c>
      <c r="B9" s="47">
        <v>7.6699999999999997E-3</v>
      </c>
      <c r="C9" s="47">
        <v>4.9119999999999997E-2</v>
      </c>
      <c r="D9" s="47">
        <v>-0.20577999999999999</v>
      </c>
      <c r="E9" s="47">
        <v>2.7060000000000001E-2</v>
      </c>
      <c r="F9" s="47">
        <v>1.17E-2</v>
      </c>
      <c r="G9" s="47">
        <v>-0.17050999999999999</v>
      </c>
      <c r="H9" s="47">
        <v>0</v>
      </c>
      <c r="I9" s="3">
        <v>6.75</v>
      </c>
      <c r="J9" s="47">
        <v>-0.72050000000000003</v>
      </c>
      <c r="K9" s="47">
        <v>0.1237</v>
      </c>
      <c r="L9" s="47">
        <v>-1.1509999999999999E-2</v>
      </c>
      <c r="M9" s="4">
        <v>4.5</v>
      </c>
      <c r="N9" s="13">
        <v>1</v>
      </c>
      <c r="O9" s="3">
        <v>1.55</v>
      </c>
      <c r="P9" s="2">
        <v>-0.23</v>
      </c>
      <c r="Q9" s="4">
        <v>760</v>
      </c>
      <c r="R9" s="2">
        <v>-0.64</v>
      </c>
      <c r="S9" s="3">
        <v>-0.11</v>
      </c>
      <c r="T9" s="4">
        <v>180</v>
      </c>
      <c r="U9" s="4">
        <v>300</v>
      </c>
      <c r="V9" s="3">
        <v>0.03</v>
      </c>
      <c r="W9" s="3">
        <v>0.06</v>
      </c>
      <c r="X9" s="3">
        <v>0.09</v>
      </c>
      <c r="Y9" s="2">
        <v>0.51300000000000001</v>
      </c>
      <c r="Z9" s="2">
        <v>0.32200000000000001</v>
      </c>
      <c r="AA9" s="2">
        <v>0.60599999999999998</v>
      </c>
      <c r="AB9" s="2">
        <v>0.32</v>
      </c>
      <c r="AC9" s="2">
        <v>0.60599999999999998</v>
      </c>
    </row>
    <row r="10" spans="1:29" ht="15.75" customHeight="1">
      <c r="A10" s="3">
        <v>0.1</v>
      </c>
      <c r="B10" s="47">
        <v>0.20108999999999999</v>
      </c>
      <c r="C10" s="47">
        <v>0.23102</v>
      </c>
      <c r="D10" s="47">
        <v>3.058E-2</v>
      </c>
      <c r="E10" s="47">
        <v>0.22192999999999999</v>
      </c>
      <c r="F10" s="47">
        <v>4.6969999999999998E-2</v>
      </c>
      <c r="G10" s="47">
        <v>-0.15948000000000001</v>
      </c>
      <c r="H10" s="47">
        <v>0</v>
      </c>
      <c r="I10" s="3">
        <v>6.75</v>
      </c>
      <c r="J10" s="47">
        <v>-0.70809999999999995</v>
      </c>
      <c r="K10" s="47">
        <v>0.11169999999999999</v>
      </c>
      <c r="L10" s="47">
        <v>-1.1509999999999999E-2</v>
      </c>
      <c r="M10" s="4">
        <v>4.5</v>
      </c>
      <c r="N10" s="13">
        <v>1</v>
      </c>
      <c r="O10" s="3">
        <v>1.68</v>
      </c>
      <c r="P10" s="2">
        <v>-0.25</v>
      </c>
      <c r="Q10" s="4">
        <v>760</v>
      </c>
      <c r="R10" s="2">
        <v>-0.6</v>
      </c>
      <c r="S10" s="3">
        <v>-0.13</v>
      </c>
      <c r="T10" s="4">
        <v>180</v>
      </c>
      <c r="U10" s="4">
        <v>300</v>
      </c>
      <c r="V10" s="3">
        <v>0.03</v>
      </c>
      <c r="W10" s="3">
        <v>0.06</v>
      </c>
      <c r="X10" s="3">
        <v>0.09</v>
      </c>
      <c r="Y10" s="2">
        <v>0.52</v>
      </c>
      <c r="Z10" s="2">
        <v>0.313</v>
      </c>
      <c r="AA10" s="2">
        <v>0.60799999999999998</v>
      </c>
      <c r="AB10" s="2">
        <v>0.318</v>
      </c>
      <c r="AC10" s="2">
        <v>0.60799999999999998</v>
      </c>
    </row>
    <row r="11" spans="1:29" ht="15.75" customHeight="1">
      <c r="A11" s="3">
        <v>0.15</v>
      </c>
      <c r="B11" s="47">
        <v>0.46128000000000002</v>
      </c>
      <c r="C11" s="47">
        <v>0.48660999999999999</v>
      </c>
      <c r="D11" s="47">
        <v>0.30185000000000001</v>
      </c>
      <c r="E11" s="47">
        <v>0.49328</v>
      </c>
      <c r="F11" s="47">
        <v>0.1799</v>
      </c>
      <c r="G11" s="47">
        <v>-0.14538999999999999</v>
      </c>
      <c r="H11" s="47">
        <v>0</v>
      </c>
      <c r="I11" s="3">
        <v>6.75</v>
      </c>
      <c r="J11" s="47">
        <v>-0.69610000000000005</v>
      </c>
      <c r="K11" s="47">
        <v>9.8839999999999997E-2</v>
      </c>
      <c r="L11" s="47">
        <v>-1.1129999999999999E-2</v>
      </c>
      <c r="M11" s="4">
        <v>4.5</v>
      </c>
      <c r="N11" s="13">
        <v>1</v>
      </c>
      <c r="O11" s="3">
        <v>1.86</v>
      </c>
      <c r="P11" s="2">
        <v>-0.28000000000000003</v>
      </c>
      <c r="Q11" s="4">
        <v>760</v>
      </c>
      <c r="R11" s="2">
        <v>-0.53</v>
      </c>
      <c r="S11" s="3">
        <v>-0.18</v>
      </c>
      <c r="T11" s="4">
        <v>180</v>
      </c>
      <c r="U11" s="4">
        <v>300</v>
      </c>
      <c r="V11" s="3">
        <v>0.03</v>
      </c>
      <c r="W11" s="3">
        <v>0.06</v>
      </c>
      <c r="X11" s="3">
        <v>0.09</v>
      </c>
      <c r="Y11" s="2">
        <v>0.51800000000000002</v>
      </c>
      <c r="Z11" s="2">
        <v>0.28799999999999998</v>
      </c>
      <c r="AA11" s="2">
        <v>0.59199999999999997</v>
      </c>
      <c r="AB11" s="2">
        <v>0.28999999999999998</v>
      </c>
      <c r="AC11" s="2">
        <v>0.59399999999999997</v>
      </c>
    </row>
    <row r="12" spans="1:29" ht="15.75" customHeight="1">
      <c r="A12" s="3">
        <v>0.2</v>
      </c>
      <c r="B12" s="47">
        <v>0.57179999999999997</v>
      </c>
      <c r="C12" s="47">
        <v>0.59253</v>
      </c>
      <c r="D12" s="47">
        <v>0.40860000000000002</v>
      </c>
      <c r="E12" s="47">
        <v>0.61472000000000004</v>
      </c>
      <c r="F12" s="47">
        <v>0.52729000000000004</v>
      </c>
      <c r="G12" s="47">
        <v>-0.12964000000000001</v>
      </c>
      <c r="H12" s="47">
        <v>1.0200000000000001E-3</v>
      </c>
      <c r="I12" s="3">
        <v>6.75</v>
      </c>
      <c r="J12" s="47">
        <v>-0.58299999999999996</v>
      </c>
      <c r="K12" s="47">
        <v>4.2729999999999997E-2</v>
      </c>
      <c r="L12" s="47">
        <v>-9.5200000000000007E-3</v>
      </c>
      <c r="M12" s="4">
        <v>4.5</v>
      </c>
      <c r="N12" s="13">
        <v>1</v>
      </c>
      <c r="O12" s="3">
        <v>1.98</v>
      </c>
      <c r="P12" s="2">
        <v>-0.31</v>
      </c>
      <c r="Q12" s="4">
        <v>760</v>
      </c>
      <c r="R12" s="2">
        <v>-0.52</v>
      </c>
      <c r="S12" s="3">
        <v>-0.19</v>
      </c>
      <c r="T12" s="4">
        <v>180</v>
      </c>
      <c r="U12" s="4">
        <v>300</v>
      </c>
      <c r="V12" s="3">
        <v>0.03</v>
      </c>
      <c r="W12" s="3">
        <v>0.06</v>
      </c>
      <c r="X12" s="3">
        <v>0.09</v>
      </c>
      <c r="Y12" s="2">
        <v>0.52300000000000002</v>
      </c>
      <c r="Z12" s="2">
        <v>0.28299999999999997</v>
      </c>
      <c r="AA12" s="2">
        <v>0.59599999999999997</v>
      </c>
      <c r="AB12" s="2">
        <v>0.28799999999999998</v>
      </c>
      <c r="AC12" s="2">
        <v>0.59599999999999997</v>
      </c>
    </row>
    <row r="13" spans="1:29" ht="15.75" customHeight="1">
      <c r="A13" s="3">
        <v>0.25</v>
      </c>
      <c r="B13" s="47">
        <v>0.51883999999999997</v>
      </c>
      <c r="C13" s="47">
        <v>0.53495999999999999</v>
      </c>
      <c r="D13" s="47">
        <v>0.33879999999999999</v>
      </c>
      <c r="E13" s="47">
        <v>0.57747000000000004</v>
      </c>
      <c r="F13" s="47">
        <v>0.60880000000000001</v>
      </c>
      <c r="G13" s="47">
        <v>-0.13843</v>
      </c>
      <c r="H13" s="47">
        <v>8.6069999999999994E-2</v>
      </c>
      <c r="I13" s="3">
        <v>6.75</v>
      </c>
      <c r="J13" s="47">
        <v>-0.5726</v>
      </c>
      <c r="K13" s="47">
        <v>2.9770000000000001E-2</v>
      </c>
      <c r="L13" s="47">
        <v>-8.3700000000000007E-3</v>
      </c>
      <c r="M13" s="4">
        <v>4.5</v>
      </c>
      <c r="N13" s="13">
        <v>1</v>
      </c>
      <c r="O13" s="3">
        <v>2.0699999999999998</v>
      </c>
      <c r="P13" s="2">
        <v>-0.39</v>
      </c>
      <c r="Q13" s="4">
        <v>760</v>
      </c>
      <c r="R13" s="2">
        <v>-0.52</v>
      </c>
      <c r="S13" s="3">
        <v>-0.16</v>
      </c>
      <c r="T13" s="4">
        <v>180</v>
      </c>
      <c r="U13" s="4">
        <v>300</v>
      </c>
      <c r="V13" s="3">
        <v>0.03</v>
      </c>
      <c r="W13" s="3">
        <v>0.06</v>
      </c>
      <c r="X13" s="3">
        <v>0.09</v>
      </c>
      <c r="Y13" s="2">
        <v>0.52700000000000002</v>
      </c>
      <c r="Z13" s="2">
        <v>0.26700000000000002</v>
      </c>
      <c r="AA13" s="2">
        <v>0.59199999999999997</v>
      </c>
      <c r="AB13" s="2">
        <v>0.26700000000000002</v>
      </c>
      <c r="AC13" s="2">
        <v>0.59199999999999997</v>
      </c>
    </row>
    <row r="14" spans="1:29" ht="15.75" customHeight="1">
      <c r="A14" s="3">
        <v>0.3</v>
      </c>
      <c r="B14" s="47">
        <v>0.43824999999999997</v>
      </c>
      <c r="C14" s="47">
        <v>0.44516</v>
      </c>
      <c r="D14" s="47">
        <v>0.25356000000000001</v>
      </c>
      <c r="E14" s="47">
        <v>0.51990000000000003</v>
      </c>
      <c r="F14" s="47">
        <v>0.64471999999999996</v>
      </c>
      <c r="G14" s="47">
        <v>-0.15694</v>
      </c>
      <c r="H14" s="47">
        <v>0.10600999999999999</v>
      </c>
      <c r="I14" s="3">
        <v>6.75</v>
      </c>
      <c r="J14" s="47">
        <v>-0.55430000000000001</v>
      </c>
      <c r="K14" s="47">
        <v>1.9550000000000001E-2</v>
      </c>
      <c r="L14" s="47">
        <v>-7.4999999999999997E-3</v>
      </c>
      <c r="M14" s="4">
        <v>4.5</v>
      </c>
      <c r="N14" s="13">
        <v>1</v>
      </c>
      <c r="O14" s="3">
        <v>2.14</v>
      </c>
      <c r="P14" s="2">
        <v>-0.44</v>
      </c>
      <c r="Q14" s="4">
        <v>760</v>
      </c>
      <c r="R14" s="2">
        <v>-0.52</v>
      </c>
      <c r="S14" s="3">
        <v>-0.14000000000000001</v>
      </c>
      <c r="T14" s="4">
        <v>180</v>
      </c>
      <c r="U14" s="4">
        <v>300</v>
      </c>
      <c r="V14" s="3">
        <v>0.03</v>
      </c>
      <c r="W14" s="3">
        <v>0.06</v>
      </c>
      <c r="X14" s="3">
        <v>0.09</v>
      </c>
      <c r="Y14" s="2">
        <v>0.54600000000000004</v>
      </c>
      <c r="Z14" s="2">
        <v>0.27200000000000002</v>
      </c>
      <c r="AA14" s="2">
        <v>0.60799999999999998</v>
      </c>
      <c r="AB14" s="2">
        <v>0.26900000000000002</v>
      </c>
      <c r="AC14" s="2">
        <v>0.60799999999999998</v>
      </c>
    </row>
    <row r="15" spans="1:29" ht="15.75" customHeight="1">
      <c r="A15" s="3">
        <v>0.4</v>
      </c>
      <c r="B15" s="47">
        <v>0.39219999999999999</v>
      </c>
      <c r="C15" s="47">
        <v>0.40601999999999999</v>
      </c>
      <c r="D15" s="47">
        <v>0.21398</v>
      </c>
      <c r="E15" s="47">
        <v>0.46079999999999999</v>
      </c>
      <c r="F15" s="47">
        <v>0.78610000000000002</v>
      </c>
      <c r="G15" s="47">
        <v>-7.843E-2</v>
      </c>
      <c r="H15" s="47">
        <v>2.2620000000000001E-2</v>
      </c>
      <c r="I15" s="3">
        <v>6.75</v>
      </c>
      <c r="J15" s="47">
        <v>-0.64429999999999998</v>
      </c>
      <c r="K15" s="47">
        <v>4.394E-2</v>
      </c>
      <c r="L15" s="47">
        <v>-6.2599999999999999E-3</v>
      </c>
      <c r="M15" s="4">
        <v>4.5</v>
      </c>
      <c r="N15" s="13">
        <v>1</v>
      </c>
      <c r="O15" s="3">
        <v>2.2400000000000002</v>
      </c>
      <c r="P15" s="2">
        <v>-0.5</v>
      </c>
      <c r="Q15" s="4">
        <v>760</v>
      </c>
      <c r="R15" s="2">
        <v>-0.51</v>
      </c>
      <c r="S15" s="3">
        <v>-0.1</v>
      </c>
      <c r="T15" s="4">
        <v>180</v>
      </c>
      <c r="U15" s="4">
        <v>300</v>
      </c>
      <c r="V15" s="3">
        <v>0.03</v>
      </c>
      <c r="W15" s="3">
        <v>0.06</v>
      </c>
      <c r="X15" s="3">
        <v>0.09</v>
      </c>
      <c r="Y15" s="2">
        <v>0.54100000000000004</v>
      </c>
      <c r="Z15" s="2">
        <v>0.26700000000000002</v>
      </c>
      <c r="AA15" s="2">
        <v>0.60299999999999998</v>
      </c>
      <c r="AB15" s="2">
        <v>0.26700000000000002</v>
      </c>
      <c r="AC15" s="2">
        <v>0.60299999999999998</v>
      </c>
    </row>
    <row r="16" spans="1:29" ht="15.75" customHeight="1">
      <c r="A16" s="3">
        <v>0.5</v>
      </c>
      <c r="B16" s="47">
        <v>0.18956999999999999</v>
      </c>
      <c r="C16" s="47">
        <v>0.19878000000000001</v>
      </c>
      <c r="D16" s="47">
        <v>9.6699999999999998E-3</v>
      </c>
      <c r="E16" s="47">
        <v>0.26336999999999999</v>
      </c>
      <c r="F16" s="47">
        <v>0.76837</v>
      </c>
      <c r="G16" s="47">
        <v>-9.0539999999999995E-2</v>
      </c>
      <c r="H16" s="47">
        <v>0</v>
      </c>
      <c r="I16" s="3">
        <v>6.75</v>
      </c>
      <c r="J16" s="47">
        <v>-0.69140000000000001</v>
      </c>
      <c r="K16" s="47">
        <v>6.08E-2</v>
      </c>
      <c r="L16" s="47">
        <v>-5.4000000000000003E-3</v>
      </c>
      <c r="M16" s="4">
        <v>4.5</v>
      </c>
      <c r="N16" s="13">
        <v>1</v>
      </c>
      <c r="O16" s="3">
        <v>2.3199999999999998</v>
      </c>
      <c r="P16" s="2">
        <v>-0.6</v>
      </c>
      <c r="Q16" s="4">
        <v>760</v>
      </c>
      <c r="R16" s="2">
        <v>-0.5</v>
      </c>
      <c r="S16" s="3">
        <v>-0.06</v>
      </c>
      <c r="T16" s="4">
        <v>180</v>
      </c>
      <c r="U16" s="4">
        <v>300</v>
      </c>
      <c r="V16" s="3">
        <v>0.03</v>
      </c>
      <c r="W16" s="3">
        <v>0.06</v>
      </c>
      <c r="X16" s="3">
        <v>0.09</v>
      </c>
      <c r="Y16" s="2">
        <v>0.55500000000000005</v>
      </c>
      <c r="Z16" s="2">
        <v>0.26500000000000001</v>
      </c>
      <c r="AA16" s="2">
        <v>0.61499999999999999</v>
      </c>
      <c r="AB16" s="2">
        <v>0.26500000000000001</v>
      </c>
      <c r="AC16" s="2">
        <v>0.61499999999999999</v>
      </c>
    </row>
    <row r="17" spans="1:29" ht="15.75" customHeight="1">
      <c r="A17" s="3">
        <v>0.75</v>
      </c>
      <c r="B17" s="47">
        <v>-0.21337999999999999</v>
      </c>
      <c r="C17" s="47">
        <v>-0.19495999999999999</v>
      </c>
      <c r="D17" s="47">
        <v>-0.49175999999999997</v>
      </c>
      <c r="E17" s="47">
        <v>-0.10813</v>
      </c>
      <c r="F17" s="47">
        <v>0.75178999999999996</v>
      </c>
      <c r="G17" s="47">
        <v>-0.14052999999999999</v>
      </c>
      <c r="H17" s="47">
        <v>0.10302</v>
      </c>
      <c r="I17" s="3">
        <v>6.75</v>
      </c>
      <c r="J17" s="47">
        <v>-0.74080000000000001</v>
      </c>
      <c r="K17" s="47">
        <v>7.5179999999999997E-2</v>
      </c>
      <c r="L17" s="47">
        <v>-4.0899999999999999E-3</v>
      </c>
      <c r="M17" s="4">
        <v>4.5</v>
      </c>
      <c r="N17" s="13">
        <v>1</v>
      </c>
      <c r="O17" s="3">
        <v>2.46</v>
      </c>
      <c r="P17" s="2">
        <v>-0.69</v>
      </c>
      <c r="Q17" s="4">
        <v>760</v>
      </c>
      <c r="R17" s="2">
        <v>-0.47</v>
      </c>
      <c r="S17" s="3">
        <v>0</v>
      </c>
      <c r="T17" s="4">
        <v>180</v>
      </c>
      <c r="U17" s="4">
        <v>300</v>
      </c>
      <c r="V17" s="3">
        <v>0.03</v>
      </c>
      <c r="W17" s="3">
        <v>0.06</v>
      </c>
      <c r="X17" s="3">
        <v>0.09</v>
      </c>
      <c r="Y17" s="2">
        <v>0.57099999999999995</v>
      </c>
      <c r="Z17" s="2">
        <v>0.311</v>
      </c>
      <c r="AA17" s="2">
        <v>0.64900000000000002</v>
      </c>
      <c r="AB17" s="2">
        <v>0.29899999999999999</v>
      </c>
      <c r="AC17" s="2">
        <v>0.64500000000000002</v>
      </c>
    </row>
    <row r="18" spans="1:29" ht="15.75" customHeight="1">
      <c r="A18" s="13">
        <v>1</v>
      </c>
      <c r="B18" s="47">
        <v>-0.46895999999999999</v>
      </c>
      <c r="C18" s="47">
        <v>-0.43442999999999998</v>
      </c>
      <c r="D18" s="47">
        <v>-0.78464999999999996</v>
      </c>
      <c r="E18" s="47">
        <v>-0.39329999999999998</v>
      </c>
      <c r="F18" s="47">
        <v>0.67879999999999996</v>
      </c>
      <c r="G18" s="47">
        <v>-0.18257000000000001</v>
      </c>
      <c r="H18" s="47">
        <v>5.3929999999999999E-2</v>
      </c>
      <c r="I18" s="3">
        <v>6.75</v>
      </c>
      <c r="J18" s="47">
        <v>-0.81830000000000003</v>
      </c>
      <c r="K18" s="47">
        <v>0.1027</v>
      </c>
      <c r="L18" s="47">
        <v>-3.3400000000000001E-3</v>
      </c>
      <c r="M18" s="4">
        <v>4.5</v>
      </c>
      <c r="N18" s="13">
        <v>1</v>
      </c>
      <c r="O18" s="3">
        <v>2.54</v>
      </c>
      <c r="P18" s="2">
        <v>-0.7</v>
      </c>
      <c r="Q18" s="4">
        <v>760</v>
      </c>
      <c r="R18" s="2">
        <v>-0.44</v>
      </c>
      <c r="S18" s="3">
        <v>0</v>
      </c>
      <c r="T18" s="4">
        <v>180</v>
      </c>
      <c r="U18" s="4">
        <v>300</v>
      </c>
      <c r="V18" s="3">
        <v>0.03</v>
      </c>
      <c r="W18" s="3">
        <v>0.06</v>
      </c>
      <c r="X18" s="3">
        <v>0.09</v>
      </c>
      <c r="Y18" s="2">
        <v>0.57299999999999995</v>
      </c>
      <c r="Z18" s="2">
        <v>0.318</v>
      </c>
      <c r="AA18" s="2">
        <v>0.65400000000000003</v>
      </c>
      <c r="AB18" s="2">
        <v>0.30199999999999999</v>
      </c>
      <c r="AC18" s="2">
        <v>0.64700000000000002</v>
      </c>
    </row>
    <row r="19" spans="1:29" ht="15.75" customHeight="1">
      <c r="A19" s="13">
        <v>1.5</v>
      </c>
      <c r="B19" s="47">
        <v>-0.86270999999999998</v>
      </c>
      <c r="C19" s="47">
        <v>-0.79593000000000003</v>
      </c>
      <c r="D19" s="47">
        <v>-1.20902</v>
      </c>
      <c r="E19" s="47">
        <v>-0.88085000000000002</v>
      </c>
      <c r="F19" s="47">
        <v>0.70689000000000002</v>
      </c>
      <c r="G19" s="47">
        <v>-0.25950000000000001</v>
      </c>
      <c r="H19" s="47">
        <v>0.19081999999999999</v>
      </c>
      <c r="I19" s="3">
        <v>6.75</v>
      </c>
      <c r="J19" s="47">
        <v>-0.83030000000000004</v>
      </c>
      <c r="K19" s="47">
        <v>9.7930000000000003E-2</v>
      </c>
      <c r="L19" s="47">
        <v>-2.5500000000000002E-3</v>
      </c>
      <c r="M19" s="4">
        <v>4.5</v>
      </c>
      <c r="N19" s="13">
        <v>1</v>
      </c>
      <c r="O19" s="3">
        <v>2.66</v>
      </c>
      <c r="P19" s="2">
        <v>-0.72</v>
      </c>
      <c r="Q19" s="4">
        <v>760</v>
      </c>
      <c r="R19" s="2">
        <v>-0.4</v>
      </c>
      <c r="S19" s="3">
        <v>0</v>
      </c>
      <c r="T19" s="4">
        <v>180</v>
      </c>
      <c r="U19" s="4">
        <v>300</v>
      </c>
      <c r="V19" s="3">
        <v>0.03</v>
      </c>
      <c r="W19" s="3">
        <v>0.06</v>
      </c>
      <c r="X19" s="3">
        <v>0.09</v>
      </c>
      <c r="Y19" s="2">
        <v>0.56599999999999995</v>
      </c>
      <c r="Z19" s="2">
        <v>0.38200000000000001</v>
      </c>
      <c r="AA19" s="2">
        <v>0.68400000000000005</v>
      </c>
      <c r="AB19" s="2">
        <v>0.373</v>
      </c>
      <c r="AC19" s="2">
        <v>0.67900000000000005</v>
      </c>
    </row>
    <row r="20" spans="1:29" ht="15.75" customHeight="1">
      <c r="A20" s="13">
        <v>2</v>
      </c>
      <c r="B20" s="47">
        <v>-1.2265200000000001</v>
      </c>
      <c r="C20" s="47">
        <v>-1.1551400000000001</v>
      </c>
      <c r="D20" s="47">
        <v>-1.57697</v>
      </c>
      <c r="E20" s="47">
        <v>-1.2766900000000001</v>
      </c>
      <c r="F20" s="47">
        <v>0.77988999999999997</v>
      </c>
      <c r="G20" s="47">
        <v>-0.29657</v>
      </c>
      <c r="H20" s="47">
        <v>0.29887999999999998</v>
      </c>
      <c r="I20" s="3">
        <v>6.75</v>
      </c>
      <c r="J20" s="47">
        <v>-0.82850000000000001</v>
      </c>
      <c r="K20" s="47">
        <v>9.4320000000000001E-2</v>
      </c>
      <c r="L20" s="47">
        <v>-2.1700000000000001E-3</v>
      </c>
      <c r="M20" s="4">
        <v>4.5</v>
      </c>
      <c r="N20" s="13">
        <v>1</v>
      </c>
      <c r="O20" s="3">
        <v>2.73</v>
      </c>
      <c r="P20" s="2">
        <v>-0.73</v>
      </c>
      <c r="Q20" s="4">
        <v>760</v>
      </c>
      <c r="R20" s="2">
        <v>-0.38</v>
      </c>
      <c r="S20" s="3">
        <v>0</v>
      </c>
      <c r="T20" s="4">
        <v>180</v>
      </c>
      <c r="U20" s="4">
        <v>300</v>
      </c>
      <c r="V20" s="3">
        <v>0.03</v>
      </c>
      <c r="W20" s="3">
        <v>0.06</v>
      </c>
      <c r="X20" s="3">
        <v>0.09</v>
      </c>
      <c r="Y20" s="2">
        <v>0.57999999999999996</v>
      </c>
      <c r="Z20" s="2">
        <v>0.39800000000000002</v>
      </c>
      <c r="AA20" s="2">
        <v>0.70199999999999996</v>
      </c>
      <c r="AB20" s="2">
        <v>0.38900000000000001</v>
      </c>
      <c r="AC20" s="2">
        <v>0.7</v>
      </c>
    </row>
    <row r="21" spans="1:29" ht="15.75" customHeight="1">
      <c r="A21" s="13">
        <v>3</v>
      </c>
      <c r="B21" s="47">
        <v>-1.82979</v>
      </c>
      <c r="C21" s="47">
        <v>-1.7468999999999999</v>
      </c>
      <c r="D21" s="47">
        <v>-2.2258399999999998</v>
      </c>
      <c r="E21" s="47">
        <v>-1.91814</v>
      </c>
      <c r="F21" s="47">
        <v>0.77966000000000002</v>
      </c>
      <c r="G21" s="47">
        <v>-0.45384000000000002</v>
      </c>
      <c r="H21" s="47">
        <v>0.67466000000000004</v>
      </c>
      <c r="I21" s="3">
        <v>6.75</v>
      </c>
      <c r="J21" s="47">
        <v>-0.78439999999999999</v>
      </c>
      <c r="K21" s="47">
        <v>7.2819999999999996E-2</v>
      </c>
      <c r="L21" s="47">
        <v>-1.91E-3</v>
      </c>
      <c r="M21" s="4">
        <v>4.5</v>
      </c>
      <c r="N21" s="13">
        <v>1</v>
      </c>
      <c r="O21" s="3">
        <v>2.83</v>
      </c>
      <c r="P21" s="2">
        <v>-0.74</v>
      </c>
      <c r="Q21" s="4">
        <v>760</v>
      </c>
      <c r="R21" s="2">
        <v>-0.34</v>
      </c>
      <c r="S21" s="3">
        <v>0</v>
      </c>
      <c r="T21" s="4">
        <v>180</v>
      </c>
      <c r="U21" s="4">
        <v>300</v>
      </c>
      <c r="V21" s="3">
        <v>0.03</v>
      </c>
      <c r="W21" s="3">
        <v>0.06</v>
      </c>
      <c r="X21" s="3">
        <v>0.09</v>
      </c>
      <c r="Y21" s="2">
        <v>0.56599999999999995</v>
      </c>
      <c r="Z21" s="2">
        <v>0.41</v>
      </c>
      <c r="AA21" s="2">
        <v>0.7</v>
      </c>
      <c r="AB21" s="2">
        <v>0.40100000000000002</v>
      </c>
      <c r="AC21" s="2">
        <v>0.69499999999999995</v>
      </c>
    </row>
    <row r="22" spans="1:29" ht="15.75" customHeight="1">
      <c r="A22" s="13">
        <v>4</v>
      </c>
      <c r="B22" s="47">
        <v>-2.2465600000000001</v>
      </c>
      <c r="C22" s="47">
        <v>-2.1590600000000002</v>
      </c>
      <c r="D22" s="47">
        <v>-2.5822799999999999</v>
      </c>
      <c r="E22" s="47">
        <v>-2.3816799999999998</v>
      </c>
      <c r="F22" s="47">
        <v>1.2496100000000001</v>
      </c>
      <c r="G22" s="47">
        <v>-0.35874</v>
      </c>
      <c r="H22" s="47">
        <v>0.79508000000000001</v>
      </c>
      <c r="I22" s="3">
        <v>6.75</v>
      </c>
      <c r="J22" s="47">
        <v>-0.68540000000000001</v>
      </c>
      <c r="K22" s="47">
        <v>3.7580000000000002E-2</v>
      </c>
      <c r="L22" s="47">
        <v>-1.91E-3</v>
      </c>
      <c r="M22" s="4">
        <v>4.5</v>
      </c>
      <c r="N22" s="13">
        <v>1</v>
      </c>
      <c r="O22" s="3">
        <v>2.89</v>
      </c>
      <c r="P22" s="2">
        <v>-0.75</v>
      </c>
      <c r="Q22" s="4">
        <v>760</v>
      </c>
      <c r="R22" s="2">
        <v>-0.31</v>
      </c>
      <c r="S22" s="3">
        <v>0</v>
      </c>
      <c r="T22" s="4">
        <v>180</v>
      </c>
      <c r="U22" s="4">
        <v>300</v>
      </c>
      <c r="V22" s="3">
        <v>0.03</v>
      </c>
      <c r="W22" s="3">
        <v>0.06</v>
      </c>
      <c r="X22" s="3">
        <v>0.09</v>
      </c>
      <c r="Y22" s="2">
        <v>0.58299999999999996</v>
      </c>
      <c r="Z22" s="2">
        <v>0.39400000000000002</v>
      </c>
      <c r="AA22" s="2">
        <v>0.70199999999999996</v>
      </c>
      <c r="AB22" s="2">
        <v>0.38500000000000001</v>
      </c>
      <c r="AC22" s="2">
        <v>0.69799999999999995</v>
      </c>
    </row>
    <row r="23" spans="1:29" ht="15.75" customHeight="1">
      <c r="A23" s="13">
        <v>5</v>
      </c>
      <c r="B23" s="47">
        <v>-1.2840800000000001</v>
      </c>
      <c r="C23" s="47">
        <v>-1.2126999999999999</v>
      </c>
      <c r="D23" s="47">
        <v>-1.5090399999999999</v>
      </c>
      <c r="E23" s="47">
        <v>-1.41093</v>
      </c>
      <c r="F23" s="47">
        <v>0.14271</v>
      </c>
      <c r="G23" s="47">
        <v>-0.39006000000000002</v>
      </c>
      <c r="H23" s="47">
        <v>0</v>
      </c>
      <c r="I23" s="3">
        <v>8.5</v>
      </c>
      <c r="J23" s="47">
        <v>-0.50960000000000005</v>
      </c>
      <c r="K23" s="47">
        <v>-2.3910000000000001E-2</v>
      </c>
      <c r="L23" s="47">
        <v>-1.91E-3</v>
      </c>
      <c r="M23" s="4">
        <v>4.5</v>
      </c>
      <c r="N23" s="13">
        <v>1</v>
      </c>
      <c r="O23" s="3">
        <v>2.93</v>
      </c>
      <c r="P23" s="2">
        <v>-0.75</v>
      </c>
      <c r="Q23" s="4">
        <v>760</v>
      </c>
      <c r="R23" s="2">
        <v>-0.29099999999999998</v>
      </c>
      <c r="S23" s="3">
        <v>0</v>
      </c>
      <c r="T23" s="4">
        <v>180</v>
      </c>
      <c r="U23" s="4">
        <v>300</v>
      </c>
      <c r="V23" s="3">
        <v>0.03</v>
      </c>
      <c r="W23" s="3">
        <v>0.06</v>
      </c>
      <c r="X23" s="3">
        <v>0.09</v>
      </c>
      <c r="Y23" s="2">
        <v>0.60099999999999998</v>
      </c>
      <c r="Z23" s="2">
        <v>0.41399999999999998</v>
      </c>
      <c r="AA23" s="2">
        <v>0.73</v>
      </c>
      <c r="AB23" s="2">
        <v>0.437</v>
      </c>
      <c r="AC23" s="2">
        <v>0.74399999999999999</v>
      </c>
    </row>
    <row r="24" spans="1:29" ht="15.75" customHeight="1">
      <c r="A24" s="13">
        <v>7.5</v>
      </c>
      <c r="B24" s="47">
        <v>-1.4314499999999999</v>
      </c>
      <c r="C24" s="47">
        <v>-1.3163199999999999</v>
      </c>
      <c r="D24" s="47">
        <v>-1.8102199999999999</v>
      </c>
      <c r="E24" s="47">
        <v>-1.5921700000000001</v>
      </c>
      <c r="F24" s="47">
        <v>0.52407000000000004</v>
      </c>
      <c r="G24" s="47">
        <v>-0.37578</v>
      </c>
      <c r="H24" s="47">
        <v>0</v>
      </c>
      <c r="I24" s="3">
        <v>8.5</v>
      </c>
      <c r="J24" s="47">
        <v>-0.37240000000000001</v>
      </c>
      <c r="K24" s="47">
        <v>-6.5680000000000002E-2</v>
      </c>
      <c r="L24" s="47">
        <v>-1.91E-3</v>
      </c>
      <c r="M24" s="4">
        <v>4.5</v>
      </c>
      <c r="N24" s="13">
        <v>1</v>
      </c>
      <c r="O24" s="3">
        <v>3</v>
      </c>
      <c r="P24" s="2">
        <v>-0.69199999999999995</v>
      </c>
      <c r="Q24" s="4">
        <v>760</v>
      </c>
      <c r="R24" s="2">
        <v>-0.247</v>
      </c>
      <c r="S24" s="3">
        <v>0</v>
      </c>
      <c r="T24" s="4">
        <v>180</v>
      </c>
      <c r="U24" s="4">
        <v>300</v>
      </c>
      <c r="V24" s="3">
        <v>0.03</v>
      </c>
      <c r="W24" s="3">
        <v>0.06</v>
      </c>
      <c r="X24" s="3">
        <v>0.09</v>
      </c>
      <c r="Y24" s="2">
        <v>0.626</v>
      </c>
      <c r="Z24" s="2">
        <v>0.46500000000000002</v>
      </c>
      <c r="AA24" s="2">
        <v>0.78100000000000003</v>
      </c>
      <c r="AB24" s="2">
        <v>0.47699999999999998</v>
      </c>
      <c r="AC24" s="2">
        <v>0.78700000000000003</v>
      </c>
    </row>
    <row r="25" spans="1:29" ht="15.75" customHeight="1">
      <c r="A25" s="13">
        <v>10</v>
      </c>
      <c r="B25" s="47">
        <v>-2.1544599999999998</v>
      </c>
      <c r="C25" s="47">
        <v>-2.1613699999999998</v>
      </c>
      <c r="D25" s="47">
        <v>-2.5332300000000001</v>
      </c>
      <c r="E25" s="47">
        <v>-2.14635</v>
      </c>
      <c r="F25" s="47">
        <v>0.40387000000000001</v>
      </c>
      <c r="G25" s="47">
        <v>-0.48492000000000002</v>
      </c>
      <c r="H25" s="47">
        <v>0</v>
      </c>
      <c r="I25" s="3">
        <v>8.5</v>
      </c>
      <c r="J25" s="47">
        <v>-9.8239999999999994E-2</v>
      </c>
      <c r="K25" s="47">
        <v>-0.13800000000000001</v>
      </c>
      <c r="L25" s="47">
        <v>-1.91E-3</v>
      </c>
      <c r="M25" s="4">
        <v>4.5</v>
      </c>
      <c r="N25" s="13">
        <v>1</v>
      </c>
      <c r="O25" s="3">
        <v>3.04</v>
      </c>
      <c r="P25" s="2">
        <v>-0.65</v>
      </c>
      <c r="Q25" s="4">
        <v>760</v>
      </c>
      <c r="R25" s="2">
        <v>-0.215</v>
      </c>
      <c r="S25" s="3">
        <v>0</v>
      </c>
      <c r="T25" s="4">
        <v>180</v>
      </c>
      <c r="U25" s="4">
        <v>300</v>
      </c>
      <c r="V25" s="3">
        <v>0.03</v>
      </c>
      <c r="W25" s="3">
        <v>0.06</v>
      </c>
      <c r="X25" s="3">
        <v>0.09</v>
      </c>
      <c r="Y25" s="2">
        <v>0.64500000000000002</v>
      </c>
      <c r="Z25" s="2">
        <v>0.35499999999999998</v>
      </c>
      <c r="AA25" s="2">
        <v>0.73499999999999999</v>
      </c>
      <c r="AB25" s="2">
        <v>0.47699999999999998</v>
      </c>
      <c r="AC25" s="2">
        <v>0.80100000000000005</v>
      </c>
    </row>
    <row r="26" spans="1:29" ht="15.75" customHeight="1">
      <c r="A26" s="48">
        <v>0</v>
      </c>
      <c r="B26" s="47">
        <v>-0.53803999999999996</v>
      </c>
      <c r="C26" s="47">
        <v>-0.50349999999999995</v>
      </c>
      <c r="D26" s="47">
        <v>-0.75471999999999995</v>
      </c>
      <c r="E26" s="47">
        <v>-0.50970000000000004</v>
      </c>
      <c r="F26" s="47">
        <v>0.28804999999999997</v>
      </c>
      <c r="G26" s="47">
        <v>-0.10163999999999999</v>
      </c>
      <c r="H26" s="47">
        <v>0</v>
      </c>
      <c r="I26" s="3">
        <v>6.75</v>
      </c>
      <c r="J26" s="47">
        <v>-0.66049999999999998</v>
      </c>
      <c r="K26" s="47">
        <v>0.1197</v>
      </c>
      <c r="L26" s="47">
        <v>-1.1509999999999999E-2</v>
      </c>
      <c r="M26" s="4">
        <v>4.5</v>
      </c>
      <c r="N26" s="13">
        <v>1</v>
      </c>
      <c r="O26" s="3">
        <v>1.35</v>
      </c>
      <c r="P26" s="2">
        <v>-0.36</v>
      </c>
      <c r="Q26" s="4">
        <v>760</v>
      </c>
      <c r="R26" s="2">
        <v>-0.64</v>
      </c>
      <c r="S26" s="3">
        <v>-0.14000000000000001</v>
      </c>
      <c r="T26" s="4">
        <v>180</v>
      </c>
      <c r="U26" s="4">
        <v>300</v>
      </c>
      <c r="V26" s="3">
        <v>0.03</v>
      </c>
      <c r="W26" s="3">
        <v>0.06</v>
      </c>
      <c r="X26" s="3">
        <v>0.09</v>
      </c>
      <c r="Y26" s="2">
        <v>0.502</v>
      </c>
      <c r="Z26" s="2">
        <v>0.26500000000000001</v>
      </c>
      <c r="AA26" s="2">
        <v>0.56599999999999995</v>
      </c>
      <c r="AB26" s="2">
        <v>0.26</v>
      </c>
      <c r="AC26" s="2">
        <v>0.56399999999999995</v>
      </c>
    </row>
    <row r="27" spans="1:29" ht="15.75" customHeight="1">
      <c r="A27" s="48">
        <v>-1</v>
      </c>
      <c r="B27" s="47">
        <v>5.0012100000000004</v>
      </c>
      <c r="C27" s="47">
        <v>5.0472700000000001</v>
      </c>
      <c r="D27" s="47">
        <v>4.6318799999999998</v>
      </c>
      <c r="E27" s="47">
        <v>5.0820999999999996</v>
      </c>
      <c r="F27" s="47">
        <v>0.18321999999999999</v>
      </c>
      <c r="G27" s="47">
        <v>-0.12736</v>
      </c>
      <c r="H27" s="47">
        <v>0</v>
      </c>
      <c r="I27" s="3">
        <v>8.5</v>
      </c>
      <c r="J27" s="47">
        <v>-0.87370000000000003</v>
      </c>
      <c r="K27" s="47">
        <v>0.10059999999999999</v>
      </c>
      <c r="L27" s="47">
        <v>-3.3400000000000001E-3</v>
      </c>
      <c r="M27" s="4">
        <v>4.5</v>
      </c>
      <c r="N27" s="13">
        <v>1</v>
      </c>
      <c r="O27" s="3">
        <v>2.54</v>
      </c>
      <c r="P27" s="2">
        <v>-0.6</v>
      </c>
      <c r="Q27" s="4">
        <v>760</v>
      </c>
      <c r="R27" s="2">
        <v>-0.5</v>
      </c>
      <c r="S27" s="3">
        <v>-0.06</v>
      </c>
      <c r="T27" s="4">
        <v>180</v>
      </c>
      <c r="U27" s="4">
        <v>300</v>
      </c>
      <c r="V27" s="3">
        <v>0.03</v>
      </c>
      <c r="W27" s="3">
        <v>0.06</v>
      </c>
      <c r="X27" s="3">
        <v>0.09</v>
      </c>
      <c r="Y27" s="2">
        <v>0.5</v>
      </c>
      <c r="Z27" s="2">
        <v>0.28599999999999998</v>
      </c>
      <c r="AA27" s="2">
        <v>0.57599999999999996</v>
      </c>
      <c r="AB27" s="2">
        <v>0.25600000000000001</v>
      </c>
      <c r="AC27" s="2">
        <v>0.56000000000000005</v>
      </c>
    </row>
  </sheetData>
  <sheetProtection sheet="1" deleteColumns="0" deleteRows="0" sort="0"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K19" sqref="K19"/>
    </sheetView>
  </sheetViews>
  <sheetFormatPr defaultRowHeight="12.75"/>
  <cols>
    <col min="1" max="1" width="11.42578125" bestFit="1" customWidth="1"/>
    <col min="5" max="5" width="10.85546875" customWidth="1"/>
  </cols>
  <sheetData>
    <row r="1" spans="1:11" ht="15.75" customHeight="1">
      <c r="A1" s="15" t="s">
        <v>145</v>
      </c>
      <c r="B1" s="16"/>
      <c r="C1" s="16"/>
      <c r="D1" s="16"/>
      <c r="E1" s="16"/>
      <c r="F1" s="16"/>
      <c r="G1" s="16"/>
      <c r="H1" s="16"/>
    </row>
    <row r="2" spans="1:11" ht="15.75" customHeight="1">
      <c r="A2" s="16"/>
      <c r="B2" s="16"/>
      <c r="C2" s="16"/>
      <c r="D2" s="16"/>
      <c r="E2" s="16"/>
      <c r="F2" s="16"/>
      <c r="G2" s="17"/>
      <c r="H2" s="17"/>
    </row>
    <row r="3" spans="1:11" ht="15.75" customHeight="1">
      <c r="A3" s="1" t="s">
        <v>47</v>
      </c>
      <c r="B3" s="12"/>
      <c r="C3" s="105" t="s">
        <v>48</v>
      </c>
      <c r="D3" s="105"/>
      <c r="E3" s="105"/>
      <c r="F3" s="105"/>
      <c r="G3" s="105"/>
      <c r="H3" s="105"/>
      <c r="I3" s="105"/>
      <c r="J3" s="105"/>
      <c r="K3" s="105"/>
    </row>
    <row r="4" spans="1:11" ht="15.75" customHeight="1">
      <c r="A4" s="16"/>
      <c r="B4" s="16"/>
      <c r="C4" s="16"/>
      <c r="D4" s="17"/>
      <c r="E4" s="17"/>
      <c r="F4" s="17"/>
    </row>
    <row r="5" spans="1:11" ht="15.75" customHeight="1">
      <c r="A5" s="19" t="s">
        <v>30</v>
      </c>
      <c r="B5" s="12"/>
      <c r="C5" s="12" t="s">
        <v>32</v>
      </c>
      <c r="D5" s="49" t="s">
        <v>125</v>
      </c>
      <c r="E5" s="12" t="s">
        <v>33</v>
      </c>
      <c r="F5" s="49" t="s">
        <v>130</v>
      </c>
      <c r="G5" s="23" t="s">
        <v>60</v>
      </c>
      <c r="H5" s="23" t="s">
        <v>146</v>
      </c>
      <c r="I5" s="53" t="s">
        <v>147</v>
      </c>
      <c r="J5" s="23" t="s">
        <v>123</v>
      </c>
      <c r="K5" s="53" t="s">
        <v>124</v>
      </c>
    </row>
    <row r="6" spans="1:11" ht="15.75" customHeight="1">
      <c r="A6" s="25">
        <f>Main!$A$13</f>
        <v>8</v>
      </c>
      <c r="B6" s="17"/>
      <c r="C6" s="1" t="s">
        <v>49</v>
      </c>
      <c r="D6" s="26">
        <v>0.01</v>
      </c>
      <c r="E6" s="28">
        <f>EXP('BA08 Coeffs'!$B5*$A$12+'BA08 Coeffs'!$C5*$A$15+'BA08 Coeffs'!$D5*$A$18+'BA08 Coeffs'!$E5*$A$21+IF($A$6&lt;='BA08 Coeffs'!$I5,'BA08 Coeffs'!$F5*($A$6-'BA08 Coeffs'!$I5)+'BA08 Coeffs'!$G5*($A$6-'BA08 Coeffs'!$I5)^2,'BA08 Coeffs'!$H5*($A$6-'BA08 Coeffs'!$I5))+('BA08 Coeffs'!$J5+'BA08 Coeffs'!$K5*($A$6-'BA08 Coeffs'!$M5))*LN(SQRT($A$9^2+'BA08 Coeffs'!$O5^2)/'BA08 Coeffs'!$N5)+'BA08 Coeffs'!$L5*(SQRT($A$9^2+'BA08 Coeffs'!$O5^2)-'BA08 Coeffs'!$N5)+'BA08 Coeffs'!$P5*LN($A$24/'BA08 Coeffs'!$Q5)+IF($A$29&lt;='BA08 Coeffs'!$V5,$F6*LN('BA08 Coeffs'!$W5/0.1),IF($A$29&lt;='BA08 Coeffs'!$X5,$F6*LN('BA08 Coeffs'!$W5/0.1)+((3*$F6*LN('BA08 Coeffs'!$X5/'BA08 Coeffs'!$W5)-$F6*LN('BA08 Coeffs'!$X5/'BA08 Coeffs'!$V5))/LN('BA08 Coeffs'!$X5/'BA08 Coeffs'!$V5)^2)*LN($A$29/'BA08 Coeffs'!$V5)^2-((2*$F6*LN('BA08 Coeffs'!$X5/'BA08 Coeffs'!$W5)-$F6*LN('BA08 Coeffs'!$X5/'BA08 Coeffs'!$V5))/LN('BA08 Coeffs'!$X5/'BA08 Coeffs'!$V5)^3)*LN($A$29/'BA08 Coeffs'!$V5)^3,$F6*LN($A$29/0.1))))</f>
        <v>0.16494658700289899</v>
      </c>
      <c r="F6" s="27">
        <f>IF($A$24&lt;='BA08 Coeffs'!$T5,'BA08 Coeffs'!$R5,IF($A$24&lt;='BA08 Coeffs'!$U5,('BA08 Coeffs'!$R5-'BA08 Coeffs'!$S5)*LN($A$24/'BA08 Coeffs'!$U5)/LN('BA08 Coeffs'!$T5/'BA08 Coeffs'!$U5)+'BA08 Coeffs'!$S5,IF($A$24&lt;='BA08 Coeffs'!$Q5,'BA08 Coeffs'!$S5*LN($A$24/'BA08 Coeffs'!$Q5)/LN('BA08 Coeffs'!$U5/'BA08 Coeffs'!$Q5),0)))</f>
        <v>0</v>
      </c>
      <c r="G6" s="14">
        <f>'BA08 Coeffs'!Y5</f>
        <v>0.502</v>
      </c>
      <c r="H6" s="14">
        <f>'BA08 Coeffs'!Z5</f>
        <v>0.26700000000000002</v>
      </c>
      <c r="I6" s="14">
        <f>'BA08 Coeffs'!AA5</f>
        <v>0.56899999999999995</v>
      </c>
      <c r="J6" s="14">
        <f>'BA08 Coeffs'!AB5</f>
        <v>0.26200000000000001</v>
      </c>
      <c r="K6" s="14">
        <f>'BA08 Coeffs'!AC5</f>
        <v>0.56599999999999995</v>
      </c>
    </row>
    <row r="7" spans="1:11" ht="15.75" customHeight="1">
      <c r="A7" s="25"/>
      <c r="B7" s="29"/>
      <c r="C7" s="1"/>
      <c r="D7" s="26">
        <v>0.02</v>
      </c>
      <c r="E7" s="28">
        <f>EXP('BA08 Coeffs'!$B6*$A$12+'BA08 Coeffs'!$C6*$A$15+'BA08 Coeffs'!$D6*$A$18+'BA08 Coeffs'!$E6*$A$21+IF($A$6&lt;='BA08 Coeffs'!$I6,'BA08 Coeffs'!$F6*($A$6-'BA08 Coeffs'!$I6)+'BA08 Coeffs'!$G6*($A$6-'BA08 Coeffs'!$I6)^2,'BA08 Coeffs'!$H6*($A$6-'BA08 Coeffs'!$I6))+('BA08 Coeffs'!$J6+'BA08 Coeffs'!$K6*($A$6-'BA08 Coeffs'!$M6))*LN(SQRT($A$9^2+'BA08 Coeffs'!$O6^2)/'BA08 Coeffs'!$N6)+'BA08 Coeffs'!$L6*(SQRT($A$9^2+'BA08 Coeffs'!$O6^2)-'BA08 Coeffs'!$N6)+'BA08 Coeffs'!$P6*LN($A$24/'BA08 Coeffs'!$Q6)+IF($A$29&lt;='BA08 Coeffs'!$V6,$F7*LN('BA08 Coeffs'!$W6/0.1),IF($A$29&lt;='BA08 Coeffs'!$X6,$F7*LN('BA08 Coeffs'!$W6/0.1)+((3*$F7*LN('BA08 Coeffs'!$X6/'BA08 Coeffs'!$W6)-$F7*LN('BA08 Coeffs'!$X6/'BA08 Coeffs'!$V6))/LN('BA08 Coeffs'!$X6/'BA08 Coeffs'!$V6)^2)*LN($A$29/'BA08 Coeffs'!$V6)^2-((2*$F7*LN('BA08 Coeffs'!$X6/'BA08 Coeffs'!$W6)-$F7*LN('BA08 Coeffs'!$X6/'BA08 Coeffs'!$V6))/LN('BA08 Coeffs'!$X6/'BA08 Coeffs'!$V6)^3)*LN($A$29/'BA08 Coeffs'!$V6)^3,$F7*LN($A$29/0.1))))</f>
        <v>0.16925284084896719</v>
      </c>
      <c r="F7" s="27">
        <f>IF($A$24&lt;='BA08 Coeffs'!$T6,'BA08 Coeffs'!$R6,IF($A$24&lt;='BA08 Coeffs'!$U6,('BA08 Coeffs'!$R6-'BA08 Coeffs'!$S6)*LN($A$24/'BA08 Coeffs'!$U6)/LN('BA08 Coeffs'!$T6/'BA08 Coeffs'!$U6)+'BA08 Coeffs'!$S6,IF($A$24&lt;='BA08 Coeffs'!$Q6,'BA08 Coeffs'!$S6*LN($A$24/'BA08 Coeffs'!$Q6)/LN('BA08 Coeffs'!$U6/'BA08 Coeffs'!$Q6),0)))</f>
        <v>0</v>
      </c>
      <c r="G7" s="14">
        <f>'BA08 Coeffs'!Y6</f>
        <v>0.502</v>
      </c>
      <c r="H7" s="14">
        <f>'BA08 Coeffs'!Z6</f>
        <v>0.26700000000000002</v>
      </c>
      <c r="I7" s="14">
        <f>'BA08 Coeffs'!AA6</f>
        <v>0.56899999999999995</v>
      </c>
      <c r="J7" s="14">
        <f>'BA08 Coeffs'!AB6</f>
        <v>0.26200000000000001</v>
      </c>
      <c r="K7" s="14">
        <f>'BA08 Coeffs'!AC6</f>
        <v>0.56599999999999995</v>
      </c>
    </row>
    <row r="8" spans="1:11" ht="15.75" customHeight="1">
      <c r="A8" s="12" t="s">
        <v>126</v>
      </c>
      <c r="B8" s="12"/>
      <c r="C8" s="1"/>
      <c r="D8" s="26">
        <v>0.03</v>
      </c>
      <c r="E8" s="28">
        <f>EXP('BA08 Coeffs'!$B7*$A$12+'BA08 Coeffs'!$C7*$A$15+'BA08 Coeffs'!$D7*$A$18+'BA08 Coeffs'!$E7*$A$21+IF($A$6&lt;='BA08 Coeffs'!$I7,'BA08 Coeffs'!$F7*($A$6-'BA08 Coeffs'!$I7)+'BA08 Coeffs'!$G7*($A$6-'BA08 Coeffs'!$I7)^2,'BA08 Coeffs'!$H7*($A$6-'BA08 Coeffs'!$I7))+('BA08 Coeffs'!$J7+'BA08 Coeffs'!$K7*($A$6-'BA08 Coeffs'!$M7))*LN(SQRT($A$9^2+'BA08 Coeffs'!$O7^2)/'BA08 Coeffs'!$N7)+'BA08 Coeffs'!$L7*(SQRT($A$9^2+'BA08 Coeffs'!$O7^2)-'BA08 Coeffs'!$N7)+'BA08 Coeffs'!$P7*LN($A$24/'BA08 Coeffs'!$Q7)+IF($A$29&lt;='BA08 Coeffs'!$V7,$F8*LN('BA08 Coeffs'!$W7/0.1),IF($A$29&lt;='BA08 Coeffs'!$X7,$F8*LN('BA08 Coeffs'!$W7/0.1)+((3*$F8*LN('BA08 Coeffs'!$X7/'BA08 Coeffs'!$W7)-$F8*LN('BA08 Coeffs'!$X7/'BA08 Coeffs'!$V7))/LN('BA08 Coeffs'!$X7/'BA08 Coeffs'!$V7)^2)*LN($A$29/'BA08 Coeffs'!$V7)^2-((2*$F8*LN('BA08 Coeffs'!$X7/'BA08 Coeffs'!$W7)-$F8*LN('BA08 Coeffs'!$X7/'BA08 Coeffs'!$V7))/LN('BA08 Coeffs'!$X7/'BA08 Coeffs'!$V7)^3)*LN($A$29/'BA08 Coeffs'!$V7)^3,$F8*LN($A$29/0.1))))</f>
        <v>0.17904104617937402</v>
      </c>
      <c r="F8" s="27">
        <f>IF($A$24&lt;='BA08 Coeffs'!$T7,'BA08 Coeffs'!$R7,IF($A$24&lt;='BA08 Coeffs'!$U7,('BA08 Coeffs'!$R7-'BA08 Coeffs'!$S7)*LN($A$24/'BA08 Coeffs'!$U7)/LN('BA08 Coeffs'!$T7/'BA08 Coeffs'!$U7)+'BA08 Coeffs'!$S7,IF($A$24&lt;='BA08 Coeffs'!$Q7,'BA08 Coeffs'!$S7*LN($A$24/'BA08 Coeffs'!$Q7)/LN('BA08 Coeffs'!$U7/'BA08 Coeffs'!$Q7),0)))</f>
        <v>0</v>
      </c>
      <c r="G8" s="14">
        <f>'BA08 Coeffs'!Y7</f>
        <v>0.50700000000000001</v>
      </c>
      <c r="H8" s="14">
        <f>'BA08 Coeffs'!Z7</f>
        <v>0.27600000000000002</v>
      </c>
      <c r="I8" s="14">
        <f>'BA08 Coeffs'!AA7</f>
        <v>0.57799999999999996</v>
      </c>
      <c r="J8" s="14">
        <f>'BA08 Coeffs'!AB7</f>
        <v>0.27400000000000002</v>
      </c>
      <c r="K8" s="14">
        <f>'BA08 Coeffs'!AC7</f>
        <v>0.57599999999999996</v>
      </c>
    </row>
    <row r="9" spans="1:11" ht="15.75" customHeight="1">
      <c r="A9" s="25">
        <f>Main!$A$19</f>
        <v>25</v>
      </c>
      <c r="B9" s="17"/>
      <c r="C9" s="1"/>
      <c r="D9" s="26">
        <v>0.05</v>
      </c>
      <c r="E9" s="28">
        <f>EXP('BA08 Coeffs'!$B8*$A$12+'BA08 Coeffs'!$C8*$A$15+'BA08 Coeffs'!$D8*$A$18+'BA08 Coeffs'!$E8*$A$21+IF($A$6&lt;='BA08 Coeffs'!$I8,'BA08 Coeffs'!$F8*($A$6-'BA08 Coeffs'!$I8)+'BA08 Coeffs'!$G8*($A$6-'BA08 Coeffs'!$I8)^2,'BA08 Coeffs'!$H8*($A$6-'BA08 Coeffs'!$I8))+('BA08 Coeffs'!$J8+'BA08 Coeffs'!$K8*($A$6-'BA08 Coeffs'!$M8))*LN(SQRT($A$9^2+'BA08 Coeffs'!$O8^2)/'BA08 Coeffs'!$N8)+'BA08 Coeffs'!$L8*(SQRT($A$9^2+'BA08 Coeffs'!$O8^2)-'BA08 Coeffs'!$N8)+'BA08 Coeffs'!$P8*LN($A$24/'BA08 Coeffs'!$Q8)+IF($A$29&lt;='BA08 Coeffs'!$V8,$F9*LN('BA08 Coeffs'!$W8/0.1),IF($A$29&lt;='BA08 Coeffs'!$X8,$F9*LN('BA08 Coeffs'!$W8/0.1)+((3*$F9*LN('BA08 Coeffs'!$X8/'BA08 Coeffs'!$W8)-$F9*LN('BA08 Coeffs'!$X8/'BA08 Coeffs'!$V8))/LN('BA08 Coeffs'!$X8/'BA08 Coeffs'!$V8)^2)*LN($A$29/'BA08 Coeffs'!$V8)^2-((2*$F9*LN('BA08 Coeffs'!$X8/'BA08 Coeffs'!$W8)-$F9*LN('BA08 Coeffs'!$X8/'BA08 Coeffs'!$V8))/LN('BA08 Coeffs'!$X8/'BA08 Coeffs'!$V8)^3)*LN($A$29/'BA08 Coeffs'!$V8)^3,$F9*LN($A$29/0.1))))</f>
        <v>0.20477465124148517</v>
      </c>
      <c r="F9" s="27">
        <f>IF($A$24&lt;='BA08 Coeffs'!$T8,'BA08 Coeffs'!$R8,IF($A$24&lt;='BA08 Coeffs'!$U8,('BA08 Coeffs'!$R8-'BA08 Coeffs'!$S8)*LN($A$24/'BA08 Coeffs'!$U8)/LN('BA08 Coeffs'!$T8/'BA08 Coeffs'!$U8)+'BA08 Coeffs'!$S8,IF($A$24&lt;='BA08 Coeffs'!$Q8,'BA08 Coeffs'!$S8*LN($A$24/'BA08 Coeffs'!$Q8)/LN('BA08 Coeffs'!$U8/'BA08 Coeffs'!$Q8),0)))</f>
        <v>0</v>
      </c>
      <c r="G9" s="14">
        <f>'BA08 Coeffs'!Y8</f>
        <v>0.51600000000000001</v>
      </c>
      <c r="H9" s="14">
        <f>'BA08 Coeffs'!Z8</f>
        <v>0.28599999999999998</v>
      </c>
      <c r="I9" s="14">
        <f>'BA08 Coeffs'!AA8</f>
        <v>0.58899999999999997</v>
      </c>
      <c r="J9" s="14">
        <f>'BA08 Coeffs'!AB8</f>
        <v>0.28599999999999998</v>
      </c>
      <c r="K9" s="14">
        <f>'BA08 Coeffs'!AC8</f>
        <v>0.58899999999999997</v>
      </c>
    </row>
    <row r="10" spans="1:11" ht="15.75" customHeight="1">
      <c r="A10" s="16"/>
      <c r="B10" s="29"/>
      <c r="C10" s="1"/>
      <c r="D10" s="26">
        <v>7.4999999999999997E-2</v>
      </c>
      <c r="E10" s="28">
        <f>EXP('BA08 Coeffs'!$B9*$A$12+'BA08 Coeffs'!$C9*$A$15+'BA08 Coeffs'!$D9*$A$18+'BA08 Coeffs'!$E9*$A$21+IF($A$6&lt;='BA08 Coeffs'!$I9,'BA08 Coeffs'!$F9*($A$6-'BA08 Coeffs'!$I9)+'BA08 Coeffs'!$G9*($A$6-'BA08 Coeffs'!$I9)^2,'BA08 Coeffs'!$H9*($A$6-'BA08 Coeffs'!$I9))+('BA08 Coeffs'!$J9+'BA08 Coeffs'!$K9*($A$6-'BA08 Coeffs'!$M9))*LN(SQRT($A$9^2+'BA08 Coeffs'!$O9^2)/'BA08 Coeffs'!$N9)+'BA08 Coeffs'!$L9*(SQRT($A$9^2+'BA08 Coeffs'!$O9^2)-'BA08 Coeffs'!$N9)+'BA08 Coeffs'!$P9*LN($A$24/'BA08 Coeffs'!$Q9)+IF($A$29&lt;='BA08 Coeffs'!$V9,$F10*LN('BA08 Coeffs'!$W9/0.1),IF($A$29&lt;='BA08 Coeffs'!$X9,$F10*LN('BA08 Coeffs'!$W9/0.1)+((3*$F10*LN('BA08 Coeffs'!$X9/'BA08 Coeffs'!$W9)-$F10*LN('BA08 Coeffs'!$X9/'BA08 Coeffs'!$V9))/LN('BA08 Coeffs'!$X9/'BA08 Coeffs'!$V9)^2)*LN($A$29/'BA08 Coeffs'!$V9)^2-((2*$F10*LN('BA08 Coeffs'!$X9/'BA08 Coeffs'!$W9)-$F10*LN('BA08 Coeffs'!$X9/'BA08 Coeffs'!$V9))/LN('BA08 Coeffs'!$X9/'BA08 Coeffs'!$V9)^3)*LN($A$29/'BA08 Coeffs'!$V9)^3,$F10*LN($A$29/0.1))))</f>
        <v>0.24445797162086827</v>
      </c>
      <c r="F10" s="27">
        <f>IF($A$24&lt;='BA08 Coeffs'!$T9,'BA08 Coeffs'!$R9,IF($A$24&lt;='BA08 Coeffs'!$U9,('BA08 Coeffs'!$R9-'BA08 Coeffs'!$S9)*LN($A$24/'BA08 Coeffs'!$U9)/LN('BA08 Coeffs'!$T9/'BA08 Coeffs'!$U9)+'BA08 Coeffs'!$S9,IF($A$24&lt;='BA08 Coeffs'!$Q9,'BA08 Coeffs'!$S9*LN($A$24/'BA08 Coeffs'!$Q9)/LN('BA08 Coeffs'!$U9/'BA08 Coeffs'!$Q9),0)))</f>
        <v>0</v>
      </c>
      <c r="G10" s="14">
        <f>'BA08 Coeffs'!Y9</f>
        <v>0.51300000000000001</v>
      </c>
      <c r="H10" s="14">
        <f>'BA08 Coeffs'!Z9</f>
        <v>0.32200000000000001</v>
      </c>
      <c r="I10" s="14">
        <f>'BA08 Coeffs'!AA9</f>
        <v>0.60599999999999998</v>
      </c>
      <c r="J10" s="14">
        <f>'BA08 Coeffs'!AB9</f>
        <v>0.32</v>
      </c>
      <c r="K10" s="14">
        <f>'BA08 Coeffs'!AC9</f>
        <v>0.60599999999999998</v>
      </c>
    </row>
    <row r="11" spans="1:11" ht="15.75" customHeight="1">
      <c r="A11" s="12" t="s">
        <v>129</v>
      </c>
      <c r="B11" s="12"/>
      <c r="C11" s="1"/>
      <c r="D11" s="30">
        <v>0.1</v>
      </c>
      <c r="E11" s="28">
        <f>EXP('BA08 Coeffs'!$B10*$A$12+'BA08 Coeffs'!$C10*$A$15+'BA08 Coeffs'!$D10*$A$18+'BA08 Coeffs'!$E10*$A$21+IF($A$6&lt;='BA08 Coeffs'!$I10,'BA08 Coeffs'!$F10*($A$6-'BA08 Coeffs'!$I10)+'BA08 Coeffs'!$G10*($A$6-'BA08 Coeffs'!$I10)^2,'BA08 Coeffs'!$H10*($A$6-'BA08 Coeffs'!$I10))+('BA08 Coeffs'!$J10+'BA08 Coeffs'!$K10*($A$6-'BA08 Coeffs'!$M10))*LN(SQRT($A$9^2+'BA08 Coeffs'!$O10^2)/'BA08 Coeffs'!$N10)+'BA08 Coeffs'!$L10*(SQRT($A$9^2+'BA08 Coeffs'!$O10^2)-'BA08 Coeffs'!$N10)+'BA08 Coeffs'!$P10*LN($A$24/'BA08 Coeffs'!$Q10)+IF($A$29&lt;='BA08 Coeffs'!$V10,$F11*LN('BA08 Coeffs'!$W10/0.1),IF($A$29&lt;='BA08 Coeffs'!$X10,$F11*LN('BA08 Coeffs'!$W10/0.1)+((3*$F11*LN('BA08 Coeffs'!$X10/'BA08 Coeffs'!$W10)-$F11*LN('BA08 Coeffs'!$X10/'BA08 Coeffs'!$V10))/LN('BA08 Coeffs'!$X10/'BA08 Coeffs'!$V10)^2)*LN($A$29/'BA08 Coeffs'!$V10)^2-((2*$F11*LN('BA08 Coeffs'!$X10/'BA08 Coeffs'!$W10)-$F11*LN('BA08 Coeffs'!$X10/'BA08 Coeffs'!$V10))/LN('BA08 Coeffs'!$X10/'BA08 Coeffs'!$V10)^3)*LN($A$29/'BA08 Coeffs'!$V10)^3,$F11*LN($A$29/0.1))))</f>
        <v>0.28142481903600625</v>
      </c>
      <c r="F11" s="27">
        <f>IF($A$24&lt;='BA08 Coeffs'!$T10,'BA08 Coeffs'!$R10,IF($A$24&lt;='BA08 Coeffs'!$U10,('BA08 Coeffs'!$R10-'BA08 Coeffs'!$S10)*LN($A$24/'BA08 Coeffs'!$U10)/LN('BA08 Coeffs'!$T10/'BA08 Coeffs'!$U10)+'BA08 Coeffs'!$S10,IF($A$24&lt;='BA08 Coeffs'!$Q10,'BA08 Coeffs'!$S10*LN($A$24/'BA08 Coeffs'!$Q10)/LN('BA08 Coeffs'!$U10/'BA08 Coeffs'!$Q10),0)))</f>
        <v>0</v>
      </c>
      <c r="G11" s="14">
        <f>'BA08 Coeffs'!Y10</f>
        <v>0.52</v>
      </c>
      <c r="H11" s="14">
        <f>'BA08 Coeffs'!Z10</f>
        <v>0.313</v>
      </c>
      <c r="I11" s="14">
        <f>'BA08 Coeffs'!AA10</f>
        <v>0.60799999999999998</v>
      </c>
      <c r="J11" s="14">
        <f>'BA08 Coeffs'!AB10</f>
        <v>0.318</v>
      </c>
      <c r="K11" s="14">
        <f>'BA08 Coeffs'!AC10</f>
        <v>0.60799999999999998</v>
      </c>
    </row>
    <row r="12" spans="1:11" ht="15.75" customHeight="1">
      <c r="A12" s="17">
        <f>Main!$A$25</f>
        <v>0</v>
      </c>
      <c r="B12" s="17"/>
      <c r="C12" s="1"/>
      <c r="D12" s="30">
        <v>0.15</v>
      </c>
      <c r="E12" s="28">
        <f>EXP('BA08 Coeffs'!$B11*$A$12+'BA08 Coeffs'!$C11*$A$15+'BA08 Coeffs'!$D11*$A$18+'BA08 Coeffs'!$E11*$A$21+IF($A$6&lt;='BA08 Coeffs'!$I11,'BA08 Coeffs'!$F11*($A$6-'BA08 Coeffs'!$I11)+'BA08 Coeffs'!$G11*($A$6-'BA08 Coeffs'!$I11)^2,'BA08 Coeffs'!$H11*($A$6-'BA08 Coeffs'!$I11))+('BA08 Coeffs'!$J11+'BA08 Coeffs'!$K11*($A$6-'BA08 Coeffs'!$M11))*LN(SQRT($A$9^2+'BA08 Coeffs'!$O11^2)/'BA08 Coeffs'!$N11)+'BA08 Coeffs'!$L11*(SQRT($A$9^2+'BA08 Coeffs'!$O11^2)-'BA08 Coeffs'!$N11)+'BA08 Coeffs'!$P11*LN($A$24/'BA08 Coeffs'!$Q11)+IF($A$29&lt;='BA08 Coeffs'!$V11,$F12*LN('BA08 Coeffs'!$W11/0.1),IF($A$29&lt;='BA08 Coeffs'!$X11,$F12*LN('BA08 Coeffs'!$W11/0.1)+((3*$F12*LN('BA08 Coeffs'!$X11/'BA08 Coeffs'!$W11)-$F12*LN('BA08 Coeffs'!$X11/'BA08 Coeffs'!$V11))/LN('BA08 Coeffs'!$X11/'BA08 Coeffs'!$V11)^2)*LN($A$29/'BA08 Coeffs'!$V11)^2-((2*$F12*LN('BA08 Coeffs'!$X11/'BA08 Coeffs'!$W11)-$F12*LN('BA08 Coeffs'!$X11/'BA08 Coeffs'!$V11))/LN('BA08 Coeffs'!$X11/'BA08 Coeffs'!$V11)^3)*LN($A$29/'BA08 Coeffs'!$V11)^3,$F12*LN($A$29/0.1))))</f>
        <v>0.334831766960834</v>
      </c>
      <c r="F12" s="27">
        <f>IF($A$24&lt;='BA08 Coeffs'!$T11,'BA08 Coeffs'!$R11,IF($A$24&lt;='BA08 Coeffs'!$U11,('BA08 Coeffs'!$R11-'BA08 Coeffs'!$S11)*LN($A$24/'BA08 Coeffs'!$U11)/LN('BA08 Coeffs'!$T11/'BA08 Coeffs'!$U11)+'BA08 Coeffs'!$S11,IF($A$24&lt;='BA08 Coeffs'!$Q11,'BA08 Coeffs'!$S11*LN($A$24/'BA08 Coeffs'!$Q11)/LN('BA08 Coeffs'!$U11/'BA08 Coeffs'!$Q11),0)))</f>
        <v>0</v>
      </c>
      <c r="G12" s="14">
        <f>'BA08 Coeffs'!Y11</f>
        <v>0.51800000000000002</v>
      </c>
      <c r="H12" s="14">
        <f>'BA08 Coeffs'!Z11</f>
        <v>0.28799999999999998</v>
      </c>
      <c r="I12" s="14">
        <f>'BA08 Coeffs'!AA11</f>
        <v>0.59199999999999997</v>
      </c>
      <c r="J12" s="14">
        <f>'BA08 Coeffs'!AB11</f>
        <v>0.28999999999999998</v>
      </c>
      <c r="K12" s="14">
        <f>'BA08 Coeffs'!AC11</f>
        <v>0.59399999999999997</v>
      </c>
    </row>
    <row r="13" spans="1:11" ht="15.75" customHeight="1">
      <c r="A13" s="17"/>
      <c r="B13" s="17"/>
      <c r="C13" s="1"/>
      <c r="D13" s="30">
        <v>0.2</v>
      </c>
      <c r="E13" s="28">
        <f>EXP('BA08 Coeffs'!$B12*$A$12+'BA08 Coeffs'!$C12*$A$15+'BA08 Coeffs'!$D12*$A$18+'BA08 Coeffs'!$E12*$A$21+IF($A$6&lt;='BA08 Coeffs'!$I12,'BA08 Coeffs'!$F12*($A$6-'BA08 Coeffs'!$I12)+'BA08 Coeffs'!$G12*($A$6-'BA08 Coeffs'!$I12)^2,'BA08 Coeffs'!$H12*($A$6-'BA08 Coeffs'!$I12))+('BA08 Coeffs'!$J12+'BA08 Coeffs'!$K12*($A$6-'BA08 Coeffs'!$M12))*LN(SQRT($A$9^2+'BA08 Coeffs'!$O12^2)/'BA08 Coeffs'!$N12)+'BA08 Coeffs'!$L12*(SQRT($A$9^2+'BA08 Coeffs'!$O12^2)-'BA08 Coeffs'!$N12)+'BA08 Coeffs'!$P12*LN($A$24/'BA08 Coeffs'!$Q12)+IF($A$29&lt;='BA08 Coeffs'!$V12,$F13*LN('BA08 Coeffs'!$W12/0.1),IF($A$29&lt;='BA08 Coeffs'!$X12,$F13*LN('BA08 Coeffs'!$W12/0.1)+((3*$F13*LN('BA08 Coeffs'!$X12/'BA08 Coeffs'!$W12)-$F13*LN('BA08 Coeffs'!$X12/'BA08 Coeffs'!$V12))/LN('BA08 Coeffs'!$X12/'BA08 Coeffs'!$V12)^2)*LN($A$29/'BA08 Coeffs'!$V12)^2-((2*$F13*LN('BA08 Coeffs'!$X12/'BA08 Coeffs'!$W12)-$F13*LN('BA08 Coeffs'!$X12/'BA08 Coeffs'!$V12))/LN('BA08 Coeffs'!$X12/'BA08 Coeffs'!$V12)^3)*LN($A$29/'BA08 Coeffs'!$V12)^3,$F13*LN($A$29/0.1))))</f>
        <v>0.29643980919078372</v>
      </c>
      <c r="F13" s="27">
        <f>IF($A$24&lt;='BA08 Coeffs'!$T12,'BA08 Coeffs'!$R12,IF($A$24&lt;='BA08 Coeffs'!$U12,('BA08 Coeffs'!$R12-'BA08 Coeffs'!$S12)*LN($A$24/'BA08 Coeffs'!$U12)/LN('BA08 Coeffs'!$T12/'BA08 Coeffs'!$U12)+'BA08 Coeffs'!$S12,IF($A$24&lt;='BA08 Coeffs'!$Q12,'BA08 Coeffs'!$S12*LN($A$24/'BA08 Coeffs'!$Q12)/LN('BA08 Coeffs'!$U12/'BA08 Coeffs'!$Q12),0)))</f>
        <v>0</v>
      </c>
      <c r="G13" s="14">
        <f>'BA08 Coeffs'!Y12</f>
        <v>0.52300000000000002</v>
      </c>
      <c r="H13" s="14">
        <f>'BA08 Coeffs'!Z12</f>
        <v>0.28299999999999997</v>
      </c>
      <c r="I13" s="14">
        <f>'BA08 Coeffs'!AA12</f>
        <v>0.59599999999999997</v>
      </c>
      <c r="J13" s="14">
        <f>'BA08 Coeffs'!AB12</f>
        <v>0.28799999999999998</v>
      </c>
      <c r="K13" s="14">
        <f>'BA08 Coeffs'!AC12</f>
        <v>0.59599999999999997</v>
      </c>
    </row>
    <row r="14" spans="1:11" ht="15.75" customHeight="1">
      <c r="A14" s="12" t="s">
        <v>138</v>
      </c>
      <c r="B14" s="17"/>
      <c r="C14" s="1"/>
      <c r="D14" s="30">
        <v>0.25</v>
      </c>
      <c r="E14" s="28">
        <f>EXP('BA08 Coeffs'!$B13*$A$12+'BA08 Coeffs'!$C13*$A$15+'BA08 Coeffs'!$D13*$A$18+'BA08 Coeffs'!$E13*$A$21+IF($A$6&lt;='BA08 Coeffs'!$I13,'BA08 Coeffs'!$F13*($A$6-'BA08 Coeffs'!$I13)+'BA08 Coeffs'!$G13*($A$6-'BA08 Coeffs'!$I13)^2,'BA08 Coeffs'!$H13*($A$6-'BA08 Coeffs'!$I13))+('BA08 Coeffs'!$J13+'BA08 Coeffs'!$K13*($A$6-'BA08 Coeffs'!$M13))*LN(SQRT($A$9^2+'BA08 Coeffs'!$O13^2)/'BA08 Coeffs'!$N13)+'BA08 Coeffs'!$L13*(SQRT($A$9^2+'BA08 Coeffs'!$O13^2)-'BA08 Coeffs'!$N13)+'BA08 Coeffs'!$P13*LN($A$24/'BA08 Coeffs'!$Q13)+IF($A$29&lt;='BA08 Coeffs'!$V13,$F14*LN('BA08 Coeffs'!$W13/0.1),IF($A$29&lt;='BA08 Coeffs'!$X13,$F14*LN('BA08 Coeffs'!$W13/0.1)+((3*$F14*LN('BA08 Coeffs'!$X13/'BA08 Coeffs'!$W13)-$F14*LN('BA08 Coeffs'!$X13/'BA08 Coeffs'!$V13))/LN('BA08 Coeffs'!$X13/'BA08 Coeffs'!$V13)^2)*LN($A$29/'BA08 Coeffs'!$V13)^2-((2*$F14*LN('BA08 Coeffs'!$X13/'BA08 Coeffs'!$W13)-$F14*LN('BA08 Coeffs'!$X13/'BA08 Coeffs'!$V13))/LN('BA08 Coeffs'!$X13/'BA08 Coeffs'!$V13)^3)*LN($A$29/'BA08 Coeffs'!$V13)^3,$F14*LN($A$29/0.1))))</f>
        <v>0.28236738460744865</v>
      </c>
      <c r="F14" s="27">
        <f>IF($A$24&lt;='BA08 Coeffs'!$T13,'BA08 Coeffs'!$R13,IF($A$24&lt;='BA08 Coeffs'!$U13,('BA08 Coeffs'!$R13-'BA08 Coeffs'!$S13)*LN($A$24/'BA08 Coeffs'!$U13)/LN('BA08 Coeffs'!$T13/'BA08 Coeffs'!$U13)+'BA08 Coeffs'!$S13,IF($A$24&lt;='BA08 Coeffs'!$Q13,'BA08 Coeffs'!$S13*LN($A$24/'BA08 Coeffs'!$Q13)/LN('BA08 Coeffs'!$U13/'BA08 Coeffs'!$Q13),0)))</f>
        <v>0</v>
      </c>
      <c r="G14" s="14">
        <f>'BA08 Coeffs'!Y13</f>
        <v>0.52700000000000002</v>
      </c>
      <c r="H14" s="14">
        <f>'BA08 Coeffs'!Z13</f>
        <v>0.26700000000000002</v>
      </c>
      <c r="I14" s="14">
        <f>'BA08 Coeffs'!AA13</f>
        <v>0.59199999999999997</v>
      </c>
      <c r="J14" s="14">
        <f>'BA08 Coeffs'!AB13</f>
        <v>0.26700000000000002</v>
      </c>
      <c r="K14" s="14">
        <f>'BA08 Coeffs'!AC13</f>
        <v>0.59199999999999997</v>
      </c>
    </row>
    <row r="15" spans="1:11" ht="15.75" customHeight="1">
      <c r="A15" s="17">
        <f>IF(AND(Main!A28=0, Main!A31=0),1,0)</f>
        <v>0</v>
      </c>
      <c r="B15" s="17"/>
      <c r="C15" s="1"/>
      <c r="D15" s="30">
        <v>0.3</v>
      </c>
      <c r="E15" s="28">
        <f>EXP('BA08 Coeffs'!$B14*$A$12+'BA08 Coeffs'!$C14*$A$15+'BA08 Coeffs'!$D14*$A$18+'BA08 Coeffs'!$E14*$A$21+IF($A$6&lt;='BA08 Coeffs'!$I14,'BA08 Coeffs'!$F14*($A$6-'BA08 Coeffs'!$I14)+'BA08 Coeffs'!$G14*($A$6-'BA08 Coeffs'!$I14)^2,'BA08 Coeffs'!$H14*($A$6-'BA08 Coeffs'!$I14))+('BA08 Coeffs'!$J14+'BA08 Coeffs'!$K14*($A$6-'BA08 Coeffs'!$M14))*LN(SQRT($A$9^2+'BA08 Coeffs'!$O14^2)/'BA08 Coeffs'!$N14)+'BA08 Coeffs'!$L14*(SQRT($A$9^2+'BA08 Coeffs'!$O14^2)-'BA08 Coeffs'!$N14)+'BA08 Coeffs'!$P14*LN($A$24/'BA08 Coeffs'!$Q14)+IF($A$29&lt;='BA08 Coeffs'!$V14,$F15*LN('BA08 Coeffs'!$W14/0.1),IF($A$29&lt;='BA08 Coeffs'!$X14,$F15*LN('BA08 Coeffs'!$W14/0.1)+((3*$F15*LN('BA08 Coeffs'!$X14/'BA08 Coeffs'!$W14)-$F15*LN('BA08 Coeffs'!$X14/'BA08 Coeffs'!$V14))/LN('BA08 Coeffs'!$X14/'BA08 Coeffs'!$V14)^2)*LN($A$29/'BA08 Coeffs'!$V14)^2-((2*$F15*LN('BA08 Coeffs'!$X14/'BA08 Coeffs'!$W14)-$F15*LN('BA08 Coeffs'!$X14/'BA08 Coeffs'!$V14))/LN('BA08 Coeffs'!$X14/'BA08 Coeffs'!$V14)^3)*LN($A$29/'BA08 Coeffs'!$V14)^3,$F15*LN($A$29/0.1))))</f>
        <v>0.25656888878873446</v>
      </c>
      <c r="F15" s="27">
        <f>IF($A$24&lt;='BA08 Coeffs'!$T14,'BA08 Coeffs'!$R14,IF($A$24&lt;='BA08 Coeffs'!$U14,('BA08 Coeffs'!$R14-'BA08 Coeffs'!$S14)*LN($A$24/'BA08 Coeffs'!$U14)/LN('BA08 Coeffs'!$T14/'BA08 Coeffs'!$U14)+'BA08 Coeffs'!$S14,IF($A$24&lt;='BA08 Coeffs'!$Q14,'BA08 Coeffs'!$S14*LN($A$24/'BA08 Coeffs'!$Q14)/LN('BA08 Coeffs'!$U14/'BA08 Coeffs'!$Q14),0)))</f>
        <v>0</v>
      </c>
      <c r="G15" s="14">
        <f>'BA08 Coeffs'!Y14</f>
        <v>0.54600000000000004</v>
      </c>
      <c r="H15" s="14">
        <f>'BA08 Coeffs'!Z14</f>
        <v>0.27200000000000002</v>
      </c>
      <c r="I15" s="14">
        <f>'BA08 Coeffs'!AA14</f>
        <v>0.60799999999999998</v>
      </c>
      <c r="J15" s="14">
        <f>'BA08 Coeffs'!AB14</f>
        <v>0.26900000000000002</v>
      </c>
      <c r="K15" s="14">
        <f>'BA08 Coeffs'!AC14</f>
        <v>0.60799999999999998</v>
      </c>
    </row>
    <row r="16" spans="1:11" ht="15.75" customHeight="1">
      <c r="A16" s="17"/>
      <c r="B16" s="16"/>
      <c r="C16" s="1"/>
      <c r="D16" s="30">
        <v>0.4</v>
      </c>
      <c r="E16" s="28">
        <f>EXP('BA08 Coeffs'!$B15*$A$12+'BA08 Coeffs'!$C15*$A$15+'BA08 Coeffs'!$D15*$A$18+'BA08 Coeffs'!$E15*$A$21+IF($A$6&lt;='BA08 Coeffs'!$I15,'BA08 Coeffs'!$F15*($A$6-'BA08 Coeffs'!$I15)+'BA08 Coeffs'!$G15*($A$6-'BA08 Coeffs'!$I15)^2,'BA08 Coeffs'!$H15*($A$6-'BA08 Coeffs'!$I15))+('BA08 Coeffs'!$J15+'BA08 Coeffs'!$K15*($A$6-'BA08 Coeffs'!$M15))*LN(SQRT($A$9^2+'BA08 Coeffs'!$O15^2)/'BA08 Coeffs'!$N15)+'BA08 Coeffs'!$L15*(SQRT($A$9^2+'BA08 Coeffs'!$O15^2)-'BA08 Coeffs'!$N15)+'BA08 Coeffs'!$P15*LN($A$24/'BA08 Coeffs'!$Q15)+IF($A$29&lt;='BA08 Coeffs'!$V15,$F16*LN('BA08 Coeffs'!$W15/0.1),IF($A$29&lt;='BA08 Coeffs'!$X15,$F16*LN('BA08 Coeffs'!$W15/0.1)+((3*$F16*LN('BA08 Coeffs'!$X15/'BA08 Coeffs'!$W15)-$F16*LN('BA08 Coeffs'!$X15/'BA08 Coeffs'!$V15))/LN('BA08 Coeffs'!$X15/'BA08 Coeffs'!$V15)^2)*LN($A$29/'BA08 Coeffs'!$V15)^2-((2*$F16*LN('BA08 Coeffs'!$X15/'BA08 Coeffs'!$W15)-$F16*LN('BA08 Coeffs'!$X15/'BA08 Coeffs'!$V15))/LN('BA08 Coeffs'!$X15/'BA08 Coeffs'!$V15)^3)*LN($A$29/'BA08 Coeffs'!$V15)^3,$F16*LN($A$29/0.1))))</f>
        <v>0.22549352971697031</v>
      </c>
      <c r="F16" s="27">
        <f>IF($A$24&lt;='BA08 Coeffs'!$T15,'BA08 Coeffs'!$R15,IF($A$24&lt;='BA08 Coeffs'!$U15,('BA08 Coeffs'!$R15-'BA08 Coeffs'!$S15)*LN($A$24/'BA08 Coeffs'!$U15)/LN('BA08 Coeffs'!$T15/'BA08 Coeffs'!$U15)+'BA08 Coeffs'!$S15,IF($A$24&lt;='BA08 Coeffs'!$Q15,'BA08 Coeffs'!$S15*LN($A$24/'BA08 Coeffs'!$Q15)/LN('BA08 Coeffs'!$U15/'BA08 Coeffs'!$Q15),0)))</f>
        <v>0</v>
      </c>
      <c r="G16" s="14">
        <f>'BA08 Coeffs'!Y15</f>
        <v>0.54100000000000004</v>
      </c>
      <c r="H16" s="14">
        <f>'BA08 Coeffs'!Z15</f>
        <v>0.26700000000000002</v>
      </c>
      <c r="I16" s="14">
        <f>'BA08 Coeffs'!AA15</f>
        <v>0.60299999999999998</v>
      </c>
      <c r="J16" s="14">
        <f>'BA08 Coeffs'!AB15</f>
        <v>0.26700000000000002</v>
      </c>
      <c r="K16" s="14">
        <f>'BA08 Coeffs'!AC15</f>
        <v>0.60299999999999998</v>
      </c>
    </row>
    <row r="17" spans="1:11" ht="15.75" customHeight="1">
      <c r="A17" s="12" t="s">
        <v>139</v>
      </c>
      <c r="B17" s="16"/>
      <c r="C17" s="1"/>
      <c r="D17" s="30">
        <v>0.5</v>
      </c>
      <c r="E17" s="28">
        <f>EXP('BA08 Coeffs'!$B16*$A$12+'BA08 Coeffs'!$C16*$A$15+'BA08 Coeffs'!$D16*$A$18+'BA08 Coeffs'!$E16*$A$21+IF($A$6&lt;='BA08 Coeffs'!$I16,'BA08 Coeffs'!$F16*($A$6-'BA08 Coeffs'!$I16)+'BA08 Coeffs'!$G16*($A$6-'BA08 Coeffs'!$I16)^2,'BA08 Coeffs'!$H16*($A$6-'BA08 Coeffs'!$I16))+('BA08 Coeffs'!$J16+'BA08 Coeffs'!$K16*($A$6-'BA08 Coeffs'!$M16))*LN(SQRT($A$9^2+'BA08 Coeffs'!$O16^2)/'BA08 Coeffs'!$N16)+'BA08 Coeffs'!$L16*(SQRT($A$9^2+'BA08 Coeffs'!$O16^2)-'BA08 Coeffs'!$N16)+'BA08 Coeffs'!$P16*LN($A$24/'BA08 Coeffs'!$Q16)+IF($A$29&lt;='BA08 Coeffs'!$V16,$F17*LN('BA08 Coeffs'!$W16/0.1),IF($A$29&lt;='BA08 Coeffs'!$X16,$F17*LN('BA08 Coeffs'!$W16/0.1)+((3*$F17*LN('BA08 Coeffs'!$X16/'BA08 Coeffs'!$W16)-$F17*LN('BA08 Coeffs'!$X16/'BA08 Coeffs'!$V16))/LN('BA08 Coeffs'!$X16/'BA08 Coeffs'!$V16)^2)*LN($A$29/'BA08 Coeffs'!$V16)^2-((2*$F17*LN('BA08 Coeffs'!$X16/'BA08 Coeffs'!$W16)-$F17*LN('BA08 Coeffs'!$X16/'BA08 Coeffs'!$V16))/LN('BA08 Coeffs'!$X16/'BA08 Coeffs'!$V16)^3)*LN($A$29/'BA08 Coeffs'!$V16)^3,$F17*LN($A$29/0.1))))</f>
        <v>0.18954742667868063</v>
      </c>
      <c r="F17" s="27">
        <f>IF($A$24&lt;='BA08 Coeffs'!$T16,'BA08 Coeffs'!$R16,IF($A$24&lt;='BA08 Coeffs'!$U16,('BA08 Coeffs'!$R16-'BA08 Coeffs'!$S16)*LN($A$24/'BA08 Coeffs'!$U16)/LN('BA08 Coeffs'!$T16/'BA08 Coeffs'!$U16)+'BA08 Coeffs'!$S16,IF($A$24&lt;='BA08 Coeffs'!$Q16,'BA08 Coeffs'!$S16*LN($A$24/'BA08 Coeffs'!$Q16)/LN('BA08 Coeffs'!$U16/'BA08 Coeffs'!$Q16),0)))</f>
        <v>0</v>
      </c>
      <c r="G17" s="14">
        <f>'BA08 Coeffs'!Y16</f>
        <v>0.55500000000000005</v>
      </c>
      <c r="H17" s="14">
        <f>'BA08 Coeffs'!Z16</f>
        <v>0.26500000000000001</v>
      </c>
      <c r="I17" s="14">
        <f>'BA08 Coeffs'!AA16</f>
        <v>0.61499999999999999</v>
      </c>
      <c r="J17" s="14">
        <f>'BA08 Coeffs'!AB16</f>
        <v>0.26500000000000001</v>
      </c>
      <c r="K17" s="14">
        <f>'BA08 Coeffs'!AC16</f>
        <v>0.61499999999999999</v>
      </c>
    </row>
    <row r="18" spans="1:11" ht="15.75" customHeight="1">
      <c r="A18" s="17">
        <f>Main!$A$31</f>
        <v>1</v>
      </c>
      <c r="B18" s="29"/>
      <c r="C18" s="1"/>
      <c r="D18" s="30">
        <v>0.75</v>
      </c>
      <c r="E18" s="28">
        <f>EXP('BA08 Coeffs'!$B17*$A$12+'BA08 Coeffs'!$C17*$A$15+'BA08 Coeffs'!$D17*$A$18+'BA08 Coeffs'!$E17*$A$21+IF($A$6&lt;='BA08 Coeffs'!$I17,'BA08 Coeffs'!$F17*($A$6-'BA08 Coeffs'!$I17)+'BA08 Coeffs'!$G17*($A$6-'BA08 Coeffs'!$I17)^2,'BA08 Coeffs'!$H17*($A$6-'BA08 Coeffs'!$I17))+('BA08 Coeffs'!$J17+'BA08 Coeffs'!$K17*($A$6-'BA08 Coeffs'!$M17))*LN(SQRT($A$9^2+'BA08 Coeffs'!$O17^2)/'BA08 Coeffs'!$N17)+'BA08 Coeffs'!$L17*(SQRT($A$9^2+'BA08 Coeffs'!$O17^2)-'BA08 Coeffs'!$N17)+'BA08 Coeffs'!$P17*LN($A$24/'BA08 Coeffs'!$Q17)+IF($A$29&lt;='BA08 Coeffs'!$V17,$F18*LN('BA08 Coeffs'!$W17/0.1),IF($A$29&lt;='BA08 Coeffs'!$X17,$F18*LN('BA08 Coeffs'!$W17/0.1)+((3*$F18*LN('BA08 Coeffs'!$X17/'BA08 Coeffs'!$W17)-$F18*LN('BA08 Coeffs'!$X17/'BA08 Coeffs'!$V17))/LN('BA08 Coeffs'!$X17/'BA08 Coeffs'!$V17)^2)*LN($A$29/'BA08 Coeffs'!$V17)^2-((2*$F18*LN('BA08 Coeffs'!$X17/'BA08 Coeffs'!$W17)-$F18*LN('BA08 Coeffs'!$X17/'BA08 Coeffs'!$V17))/LN('BA08 Coeffs'!$X17/'BA08 Coeffs'!$V17)^3)*LN($A$29/'BA08 Coeffs'!$V17)^3,$F18*LN($A$29/0.1))))</f>
        <v>0.13513234411355435</v>
      </c>
      <c r="F18" s="27">
        <f>IF($A$24&lt;='BA08 Coeffs'!$T17,'BA08 Coeffs'!$R17,IF($A$24&lt;='BA08 Coeffs'!$U17,('BA08 Coeffs'!$R17-'BA08 Coeffs'!$S17)*LN($A$24/'BA08 Coeffs'!$U17)/LN('BA08 Coeffs'!$T17/'BA08 Coeffs'!$U17)+'BA08 Coeffs'!$S17,IF($A$24&lt;='BA08 Coeffs'!$Q17,'BA08 Coeffs'!$S17*LN($A$24/'BA08 Coeffs'!$Q17)/LN('BA08 Coeffs'!$U17/'BA08 Coeffs'!$Q17),0)))</f>
        <v>0</v>
      </c>
      <c r="G18" s="14">
        <f>'BA08 Coeffs'!Y17</f>
        <v>0.57099999999999995</v>
      </c>
      <c r="H18" s="14">
        <f>'BA08 Coeffs'!Z17</f>
        <v>0.311</v>
      </c>
      <c r="I18" s="14">
        <f>'BA08 Coeffs'!AA17</f>
        <v>0.64900000000000002</v>
      </c>
      <c r="J18" s="14">
        <f>'BA08 Coeffs'!AB17</f>
        <v>0.29899999999999999</v>
      </c>
      <c r="K18" s="14">
        <f>'BA08 Coeffs'!AC17</f>
        <v>0.64500000000000002</v>
      </c>
    </row>
    <row r="19" spans="1:11" ht="15.75" customHeight="1">
      <c r="A19" s="17"/>
      <c r="B19" s="29"/>
      <c r="C19" s="1"/>
      <c r="D19" s="31">
        <v>1</v>
      </c>
      <c r="E19" s="28">
        <f>EXP('BA08 Coeffs'!$B18*$A$12+'BA08 Coeffs'!$C18*$A$15+'BA08 Coeffs'!$D18*$A$18+'BA08 Coeffs'!$E18*$A$21+IF($A$6&lt;='BA08 Coeffs'!$I18,'BA08 Coeffs'!$F18*($A$6-'BA08 Coeffs'!$I18)+'BA08 Coeffs'!$G18*($A$6-'BA08 Coeffs'!$I18)^2,'BA08 Coeffs'!$H18*($A$6-'BA08 Coeffs'!$I18))+('BA08 Coeffs'!$J18+'BA08 Coeffs'!$K18*($A$6-'BA08 Coeffs'!$M18))*LN(SQRT($A$9^2+'BA08 Coeffs'!$O18^2)/'BA08 Coeffs'!$N18)+'BA08 Coeffs'!$L18*(SQRT($A$9^2+'BA08 Coeffs'!$O18^2)-'BA08 Coeffs'!$N18)+'BA08 Coeffs'!$P18*LN($A$24/'BA08 Coeffs'!$Q18)+IF($A$29&lt;='BA08 Coeffs'!$V18,$F19*LN('BA08 Coeffs'!$W18/0.1),IF($A$29&lt;='BA08 Coeffs'!$X18,$F19*LN('BA08 Coeffs'!$W18/0.1)+((3*$F19*LN('BA08 Coeffs'!$X18/'BA08 Coeffs'!$W18)-$F19*LN('BA08 Coeffs'!$X18/'BA08 Coeffs'!$V18))/LN('BA08 Coeffs'!$X18/'BA08 Coeffs'!$V18)^2)*LN($A$29/'BA08 Coeffs'!$V18)^2-((2*$F19*LN('BA08 Coeffs'!$X18/'BA08 Coeffs'!$W18)-$F19*LN('BA08 Coeffs'!$X18/'BA08 Coeffs'!$V18))/LN('BA08 Coeffs'!$X18/'BA08 Coeffs'!$V18)^3)*LN($A$29/'BA08 Coeffs'!$V18)^3,$F19*LN($A$29/0.1))))</f>
        <v>0.10257463015828308</v>
      </c>
      <c r="F19" s="27">
        <f>IF($A$24&lt;='BA08 Coeffs'!$T18,'BA08 Coeffs'!$R18,IF($A$24&lt;='BA08 Coeffs'!$U18,('BA08 Coeffs'!$R18-'BA08 Coeffs'!$S18)*LN($A$24/'BA08 Coeffs'!$U18)/LN('BA08 Coeffs'!$T18/'BA08 Coeffs'!$U18)+'BA08 Coeffs'!$S18,IF($A$24&lt;='BA08 Coeffs'!$Q18,'BA08 Coeffs'!$S18*LN($A$24/'BA08 Coeffs'!$Q18)/LN('BA08 Coeffs'!$U18/'BA08 Coeffs'!$Q18),0)))</f>
        <v>0</v>
      </c>
      <c r="G19" s="14">
        <f>'BA08 Coeffs'!Y18</f>
        <v>0.57299999999999995</v>
      </c>
      <c r="H19" s="14">
        <f>'BA08 Coeffs'!Z18</f>
        <v>0.318</v>
      </c>
      <c r="I19" s="14">
        <f>'BA08 Coeffs'!AA18</f>
        <v>0.65400000000000003</v>
      </c>
      <c r="J19" s="14">
        <f>'BA08 Coeffs'!AB18</f>
        <v>0.30199999999999999</v>
      </c>
      <c r="K19" s="14">
        <f>'BA08 Coeffs'!AC18</f>
        <v>0.64700000000000002</v>
      </c>
    </row>
    <row r="20" spans="1:11" ht="15.75" customHeight="1">
      <c r="A20" s="12" t="s">
        <v>140</v>
      </c>
      <c r="B20" s="29"/>
      <c r="C20" s="1"/>
      <c r="D20" s="31">
        <v>1.5</v>
      </c>
      <c r="E20" s="28">
        <f>EXP('BA08 Coeffs'!$B19*$A$12+'BA08 Coeffs'!$C19*$A$15+'BA08 Coeffs'!$D19*$A$18+'BA08 Coeffs'!$E19*$A$21+IF($A$6&lt;='BA08 Coeffs'!$I19,'BA08 Coeffs'!$F19*($A$6-'BA08 Coeffs'!$I19)+'BA08 Coeffs'!$G19*($A$6-'BA08 Coeffs'!$I19)^2,'BA08 Coeffs'!$H19*($A$6-'BA08 Coeffs'!$I19))+('BA08 Coeffs'!$J19+'BA08 Coeffs'!$K19*($A$6-'BA08 Coeffs'!$M19))*LN(SQRT($A$9^2+'BA08 Coeffs'!$O19^2)/'BA08 Coeffs'!$N19)+'BA08 Coeffs'!$L19*(SQRT($A$9^2+'BA08 Coeffs'!$O19^2)-'BA08 Coeffs'!$N19)+'BA08 Coeffs'!$P19*LN($A$24/'BA08 Coeffs'!$Q19)+IF($A$29&lt;='BA08 Coeffs'!$V19,$F20*LN('BA08 Coeffs'!$W19/0.1),IF($A$29&lt;='BA08 Coeffs'!$X19,$F20*LN('BA08 Coeffs'!$W19/0.1)+((3*$F20*LN('BA08 Coeffs'!$X19/'BA08 Coeffs'!$W19)-$F20*LN('BA08 Coeffs'!$X19/'BA08 Coeffs'!$V19))/LN('BA08 Coeffs'!$X19/'BA08 Coeffs'!$V19)^2)*LN($A$29/'BA08 Coeffs'!$V19)^2-((2*$F20*LN('BA08 Coeffs'!$X19/'BA08 Coeffs'!$W19)-$F20*LN('BA08 Coeffs'!$X19/'BA08 Coeffs'!$V19))/LN('BA08 Coeffs'!$X19/'BA08 Coeffs'!$V19)^3)*LN($A$29/'BA08 Coeffs'!$V19)^3,$F20*LN($A$29/0.1))))</f>
        <v>7.396628569939051E-2</v>
      </c>
      <c r="F20" s="27">
        <f>IF($A$24&lt;='BA08 Coeffs'!$T19,'BA08 Coeffs'!$R19,IF($A$24&lt;='BA08 Coeffs'!$U19,('BA08 Coeffs'!$R19-'BA08 Coeffs'!$S19)*LN($A$24/'BA08 Coeffs'!$U19)/LN('BA08 Coeffs'!$T19/'BA08 Coeffs'!$U19)+'BA08 Coeffs'!$S19,IF($A$24&lt;='BA08 Coeffs'!$Q19,'BA08 Coeffs'!$S19*LN($A$24/'BA08 Coeffs'!$Q19)/LN('BA08 Coeffs'!$U19/'BA08 Coeffs'!$Q19),0)))</f>
        <v>0</v>
      </c>
      <c r="G20" s="14">
        <f>'BA08 Coeffs'!Y19</f>
        <v>0.56599999999999995</v>
      </c>
      <c r="H20" s="14">
        <f>'BA08 Coeffs'!Z19</f>
        <v>0.38200000000000001</v>
      </c>
      <c r="I20" s="14">
        <f>'BA08 Coeffs'!AA19</f>
        <v>0.68400000000000005</v>
      </c>
      <c r="J20" s="14">
        <f>'BA08 Coeffs'!AB19</f>
        <v>0.373</v>
      </c>
      <c r="K20" s="14">
        <f>'BA08 Coeffs'!AC19</f>
        <v>0.67900000000000005</v>
      </c>
    </row>
    <row r="21" spans="1:11" ht="15.75" customHeight="1">
      <c r="A21" s="17">
        <f>Main!$A$28</f>
        <v>0</v>
      </c>
      <c r="B21" s="29"/>
      <c r="C21" s="1"/>
      <c r="D21" s="31">
        <v>2</v>
      </c>
      <c r="E21" s="28">
        <f>EXP('BA08 Coeffs'!$B20*$A$12+'BA08 Coeffs'!$C20*$A$15+'BA08 Coeffs'!$D20*$A$18+'BA08 Coeffs'!$E20*$A$21+IF($A$6&lt;='BA08 Coeffs'!$I20,'BA08 Coeffs'!$F20*($A$6-'BA08 Coeffs'!$I20)+'BA08 Coeffs'!$G20*($A$6-'BA08 Coeffs'!$I20)^2,'BA08 Coeffs'!$H20*($A$6-'BA08 Coeffs'!$I20))+('BA08 Coeffs'!$J20+'BA08 Coeffs'!$K20*($A$6-'BA08 Coeffs'!$M20))*LN(SQRT($A$9^2+'BA08 Coeffs'!$O20^2)/'BA08 Coeffs'!$N20)+'BA08 Coeffs'!$L20*(SQRT($A$9^2+'BA08 Coeffs'!$O20^2)-'BA08 Coeffs'!$N20)+'BA08 Coeffs'!$P20*LN($A$24/'BA08 Coeffs'!$Q20)+IF($A$29&lt;='BA08 Coeffs'!$V20,$F21*LN('BA08 Coeffs'!$W20/0.1),IF($A$29&lt;='BA08 Coeffs'!$X20,$F21*LN('BA08 Coeffs'!$W20/0.1)+((3*$F21*LN('BA08 Coeffs'!$X20/'BA08 Coeffs'!$W20)-$F21*LN('BA08 Coeffs'!$X20/'BA08 Coeffs'!$V20))/LN('BA08 Coeffs'!$X20/'BA08 Coeffs'!$V20)^2)*LN($A$29/'BA08 Coeffs'!$V20)^2-((2*$F21*LN('BA08 Coeffs'!$X20/'BA08 Coeffs'!$W20)-$F21*LN('BA08 Coeffs'!$X20/'BA08 Coeffs'!$V20))/LN('BA08 Coeffs'!$X20/'BA08 Coeffs'!$V20)^3)*LN($A$29/'BA08 Coeffs'!$V20)^3,$F21*LN($A$29/0.1))))</f>
        <v>5.710008038710658E-2</v>
      </c>
      <c r="F21" s="27">
        <f>IF($A$24&lt;='BA08 Coeffs'!$T20,'BA08 Coeffs'!$R20,IF($A$24&lt;='BA08 Coeffs'!$U20,('BA08 Coeffs'!$R20-'BA08 Coeffs'!$S20)*LN($A$24/'BA08 Coeffs'!$U20)/LN('BA08 Coeffs'!$T20/'BA08 Coeffs'!$U20)+'BA08 Coeffs'!$S20,IF($A$24&lt;='BA08 Coeffs'!$Q20,'BA08 Coeffs'!$S20*LN($A$24/'BA08 Coeffs'!$Q20)/LN('BA08 Coeffs'!$U20/'BA08 Coeffs'!$Q20),0)))</f>
        <v>0</v>
      </c>
      <c r="G21" s="14">
        <f>'BA08 Coeffs'!Y20</f>
        <v>0.57999999999999996</v>
      </c>
      <c r="H21" s="14">
        <f>'BA08 Coeffs'!Z20</f>
        <v>0.39800000000000002</v>
      </c>
      <c r="I21" s="14">
        <f>'BA08 Coeffs'!AA20</f>
        <v>0.70199999999999996</v>
      </c>
      <c r="J21" s="14">
        <f>'BA08 Coeffs'!AB20</f>
        <v>0.38900000000000001</v>
      </c>
      <c r="K21" s="14">
        <f>'BA08 Coeffs'!AC20</f>
        <v>0.7</v>
      </c>
    </row>
    <row r="22" spans="1:11" ht="15.75" customHeight="1">
      <c r="A22" s="16"/>
      <c r="B22" s="16"/>
      <c r="C22" s="1"/>
      <c r="D22" s="31">
        <v>3</v>
      </c>
      <c r="E22" s="28">
        <f>EXP('BA08 Coeffs'!$B21*$A$12+'BA08 Coeffs'!$C21*$A$15+'BA08 Coeffs'!$D21*$A$18+'BA08 Coeffs'!$E21*$A$21+IF($A$6&lt;='BA08 Coeffs'!$I21,'BA08 Coeffs'!$F21*($A$6-'BA08 Coeffs'!$I21)+'BA08 Coeffs'!$G21*($A$6-'BA08 Coeffs'!$I21)^2,'BA08 Coeffs'!$H21*($A$6-'BA08 Coeffs'!$I21))+('BA08 Coeffs'!$J21+'BA08 Coeffs'!$K21*($A$6-'BA08 Coeffs'!$M21))*LN(SQRT($A$9^2+'BA08 Coeffs'!$O21^2)/'BA08 Coeffs'!$N21)+'BA08 Coeffs'!$L21*(SQRT($A$9^2+'BA08 Coeffs'!$O21^2)-'BA08 Coeffs'!$N21)+'BA08 Coeffs'!$P21*LN($A$24/'BA08 Coeffs'!$Q21)+IF($A$29&lt;='BA08 Coeffs'!$V21,$F22*LN('BA08 Coeffs'!$W21/0.1),IF($A$29&lt;='BA08 Coeffs'!$X21,$F22*LN('BA08 Coeffs'!$W21/0.1)+((3*$F22*LN('BA08 Coeffs'!$X21/'BA08 Coeffs'!$W21)-$F22*LN('BA08 Coeffs'!$X21/'BA08 Coeffs'!$V21))/LN('BA08 Coeffs'!$X21/'BA08 Coeffs'!$V21)^2)*LN($A$29/'BA08 Coeffs'!$V21)^2-((2*$F22*LN('BA08 Coeffs'!$X21/'BA08 Coeffs'!$W21)-$F22*LN('BA08 Coeffs'!$X21/'BA08 Coeffs'!$V21))/LN('BA08 Coeffs'!$X21/'BA08 Coeffs'!$V21)^3)*LN($A$29/'BA08 Coeffs'!$V21)^3,$F22*LN($A$29/0.1))))</f>
        <v>4.3433576278783116E-2</v>
      </c>
      <c r="F22" s="27">
        <f>IF($A$24&lt;='BA08 Coeffs'!$T21,'BA08 Coeffs'!$R21,IF($A$24&lt;='BA08 Coeffs'!$U21,('BA08 Coeffs'!$R21-'BA08 Coeffs'!$S21)*LN($A$24/'BA08 Coeffs'!$U21)/LN('BA08 Coeffs'!$T21/'BA08 Coeffs'!$U21)+'BA08 Coeffs'!$S21,IF($A$24&lt;='BA08 Coeffs'!$Q21,'BA08 Coeffs'!$S21*LN($A$24/'BA08 Coeffs'!$Q21)/LN('BA08 Coeffs'!$U21/'BA08 Coeffs'!$Q21),0)))</f>
        <v>0</v>
      </c>
      <c r="G22" s="14">
        <f>'BA08 Coeffs'!Y21</f>
        <v>0.56599999999999995</v>
      </c>
      <c r="H22" s="14">
        <f>'BA08 Coeffs'!Z21</f>
        <v>0.41</v>
      </c>
      <c r="I22" s="14">
        <f>'BA08 Coeffs'!AA21</f>
        <v>0.7</v>
      </c>
      <c r="J22" s="14">
        <f>'BA08 Coeffs'!AB21</f>
        <v>0.40100000000000002</v>
      </c>
      <c r="K22" s="14">
        <f>'BA08 Coeffs'!AC21</f>
        <v>0.69499999999999995</v>
      </c>
    </row>
    <row r="23" spans="1:11" ht="15.75" customHeight="1">
      <c r="A23" s="12" t="s">
        <v>127</v>
      </c>
      <c r="B23" s="16"/>
      <c r="C23" s="1"/>
      <c r="D23" s="31">
        <v>4</v>
      </c>
      <c r="E23" s="28">
        <f>EXP('BA08 Coeffs'!$B22*$A$12+'BA08 Coeffs'!$C22*$A$15+'BA08 Coeffs'!$D22*$A$18+'BA08 Coeffs'!$E22*$A$21+IF($A$6&lt;='BA08 Coeffs'!$I22,'BA08 Coeffs'!$F22*($A$6-'BA08 Coeffs'!$I22)+'BA08 Coeffs'!$G22*($A$6-'BA08 Coeffs'!$I22)^2,'BA08 Coeffs'!$H22*($A$6-'BA08 Coeffs'!$I22))+('BA08 Coeffs'!$J22+'BA08 Coeffs'!$K22*($A$6-'BA08 Coeffs'!$M22))*LN(SQRT($A$9^2+'BA08 Coeffs'!$O22^2)/'BA08 Coeffs'!$N22)+'BA08 Coeffs'!$L22*(SQRT($A$9^2+'BA08 Coeffs'!$O22^2)-'BA08 Coeffs'!$N22)+'BA08 Coeffs'!$P22*LN($A$24/'BA08 Coeffs'!$Q22)+IF($A$29&lt;='BA08 Coeffs'!$V22,$F23*LN('BA08 Coeffs'!$W22/0.1),IF($A$29&lt;='BA08 Coeffs'!$X22,$F23*LN('BA08 Coeffs'!$W22/0.1)+((3*$F23*LN('BA08 Coeffs'!$X22/'BA08 Coeffs'!$W22)-$F23*LN('BA08 Coeffs'!$X22/'BA08 Coeffs'!$V22))/LN('BA08 Coeffs'!$X22/'BA08 Coeffs'!$V22)^2)*LN($A$29/'BA08 Coeffs'!$V22)^2-((2*$F23*LN('BA08 Coeffs'!$X22/'BA08 Coeffs'!$W22)-$F23*LN('BA08 Coeffs'!$X22/'BA08 Coeffs'!$V22))/LN('BA08 Coeffs'!$X22/'BA08 Coeffs'!$V22)^3)*LN($A$29/'BA08 Coeffs'!$V22)^3,$F23*LN($A$29/0.1))))</f>
        <v>3.2676372450545707E-2</v>
      </c>
      <c r="F23" s="27">
        <f>IF($A$24&lt;='BA08 Coeffs'!$T22,'BA08 Coeffs'!$R22,IF($A$24&lt;='BA08 Coeffs'!$U22,('BA08 Coeffs'!$R22-'BA08 Coeffs'!$S22)*LN($A$24/'BA08 Coeffs'!$U22)/LN('BA08 Coeffs'!$T22/'BA08 Coeffs'!$U22)+'BA08 Coeffs'!$S22,IF($A$24&lt;='BA08 Coeffs'!$Q22,'BA08 Coeffs'!$S22*LN($A$24/'BA08 Coeffs'!$Q22)/LN('BA08 Coeffs'!$U22/'BA08 Coeffs'!$Q22),0)))</f>
        <v>0</v>
      </c>
      <c r="G23" s="14">
        <f>'BA08 Coeffs'!Y22</f>
        <v>0.58299999999999996</v>
      </c>
      <c r="H23" s="14">
        <f>'BA08 Coeffs'!Z22</f>
        <v>0.39400000000000002</v>
      </c>
      <c r="I23" s="14">
        <f>'BA08 Coeffs'!AA22</f>
        <v>0.70199999999999996</v>
      </c>
      <c r="J23" s="14">
        <f>'BA08 Coeffs'!AB22</f>
        <v>0.38500000000000001</v>
      </c>
      <c r="K23" s="14">
        <f>'BA08 Coeffs'!AC22</f>
        <v>0.69799999999999995</v>
      </c>
    </row>
    <row r="24" spans="1:11" ht="15.75" customHeight="1">
      <c r="A24" s="17">
        <f>IF(Main!$A$43&gt;1300,1300,Main!$A$43)</f>
        <v>760</v>
      </c>
      <c r="B24" s="16"/>
      <c r="C24" s="1"/>
      <c r="D24" s="31">
        <v>5</v>
      </c>
      <c r="E24" s="28">
        <f>EXP('BA08 Coeffs'!$B23*$A$12+'BA08 Coeffs'!$C23*$A$15+'BA08 Coeffs'!$D23*$A$18+'BA08 Coeffs'!$E23*$A$21+IF($A$6&lt;='BA08 Coeffs'!$I23,'BA08 Coeffs'!$F23*($A$6-'BA08 Coeffs'!$I23)+'BA08 Coeffs'!$G23*($A$6-'BA08 Coeffs'!$I23)^2,'BA08 Coeffs'!$H23*($A$6-'BA08 Coeffs'!$I23))+('BA08 Coeffs'!$J23+'BA08 Coeffs'!$K23*($A$6-'BA08 Coeffs'!$M23))*LN(SQRT($A$9^2+'BA08 Coeffs'!$O23^2)/'BA08 Coeffs'!$N23)+'BA08 Coeffs'!$L23*(SQRT($A$9^2+'BA08 Coeffs'!$O23^2)-'BA08 Coeffs'!$N23)+'BA08 Coeffs'!$P23*LN($A$24/'BA08 Coeffs'!$Q23)+IF($A$29&lt;='BA08 Coeffs'!$V23,$F24*LN('BA08 Coeffs'!$W23/0.1),IF($A$29&lt;='BA08 Coeffs'!$X23,$F24*LN('BA08 Coeffs'!$W23/0.1)+((3*$F24*LN('BA08 Coeffs'!$X23/'BA08 Coeffs'!$W23)-$F24*LN('BA08 Coeffs'!$X23/'BA08 Coeffs'!$V23))/LN('BA08 Coeffs'!$X23/'BA08 Coeffs'!$V23)^2)*LN($A$29/'BA08 Coeffs'!$V23)^2-((2*$F24*LN('BA08 Coeffs'!$X23/'BA08 Coeffs'!$W23)-$F24*LN('BA08 Coeffs'!$X23/'BA08 Coeffs'!$V23))/LN('BA08 Coeffs'!$X23/'BA08 Coeffs'!$V23)^3)*LN($A$29/'BA08 Coeffs'!$V23)^3,$F24*LN($A$29/0.1))))</f>
        <v>2.6309255757558526E-2</v>
      </c>
      <c r="F24" s="27">
        <f>IF($A$24&lt;='BA08 Coeffs'!$T23,'BA08 Coeffs'!$R23,IF($A$24&lt;='BA08 Coeffs'!$U23,('BA08 Coeffs'!$R23-'BA08 Coeffs'!$S23)*LN($A$24/'BA08 Coeffs'!$U23)/LN('BA08 Coeffs'!$T23/'BA08 Coeffs'!$U23)+'BA08 Coeffs'!$S23,IF($A$24&lt;='BA08 Coeffs'!$Q23,'BA08 Coeffs'!$S23*LN($A$24/'BA08 Coeffs'!$Q23)/LN('BA08 Coeffs'!$U23/'BA08 Coeffs'!$Q23),0)))</f>
        <v>0</v>
      </c>
      <c r="G24" s="14">
        <f>'BA08 Coeffs'!Y23</f>
        <v>0.60099999999999998</v>
      </c>
      <c r="H24" s="14">
        <f>'BA08 Coeffs'!Z23</f>
        <v>0.41399999999999998</v>
      </c>
      <c r="I24" s="14">
        <f>'BA08 Coeffs'!AA23</f>
        <v>0.73</v>
      </c>
      <c r="J24" s="14">
        <f>'BA08 Coeffs'!AB23</f>
        <v>0.437</v>
      </c>
      <c r="K24" s="14">
        <f>'BA08 Coeffs'!AC23</f>
        <v>0.74399999999999999</v>
      </c>
    </row>
    <row r="25" spans="1:11" ht="15.75" customHeight="1">
      <c r="A25" s="17"/>
      <c r="B25" s="16"/>
      <c r="C25" s="1"/>
      <c r="D25" s="31">
        <v>7.5</v>
      </c>
      <c r="E25" s="28">
        <f>EXP('BA08 Coeffs'!$B24*$A$12+'BA08 Coeffs'!$C24*$A$15+'BA08 Coeffs'!$D24*$A$18+'BA08 Coeffs'!$E24*$A$21+IF($A$6&lt;='BA08 Coeffs'!$I24,'BA08 Coeffs'!$F24*($A$6-'BA08 Coeffs'!$I24)+'BA08 Coeffs'!$G24*($A$6-'BA08 Coeffs'!$I24)^2,'BA08 Coeffs'!$H24*($A$6-'BA08 Coeffs'!$I24))+('BA08 Coeffs'!$J24+'BA08 Coeffs'!$K24*($A$6-'BA08 Coeffs'!$M24))*LN(SQRT($A$9^2+'BA08 Coeffs'!$O24^2)/'BA08 Coeffs'!$N24)+'BA08 Coeffs'!$L24*(SQRT($A$9^2+'BA08 Coeffs'!$O24^2)-'BA08 Coeffs'!$N24)+'BA08 Coeffs'!$P24*LN($A$24/'BA08 Coeffs'!$Q24)+IF($A$29&lt;='BA08 Coeffs'!$V24,$F25*LN('BA08 Coeffs'!$W24/0.1),IF($A$29&lt;='BA08 Coeffs'!$X24,$F25*LN('BA08 Coeffs'!$W24/0.1)+((3*$F25*LN('BA08 Coeffs'!$X24/'BA08 Coeffs'!$W24)-$F25*LN('BA08 Coeffs'!$X24/'BA08 Coeffs'!$V24))/LN('BA08 Coeffs'!$X24/'BA08 Coeffs'!$V24)^2)*LN($A$29/'BA08 Coeffs'!$V24)^2-((2*$F25*LN('BA08 Coeffs'!$X24/'BA08 Coeffs'!$W24)-$F25*LN('BA08 Coeffs'!$X24/'BA08 Coeffs'!$V24))/LN('BA08 Coeffs'!$X24/'BA08 Coeffs'!$V24)^3)*LN($A$29/'BA08 Coeffs'!$V24)^3,$F25*LN($A$29/0.1))))</f>
        <v>1.5680261399832945E-2</v>
      </c>
      <c r="F25" s="27">
        <f>IF($A$24&lt;='BA08 Coeffs'!$T24,'BA08 Coeffs'!$R24,IF($A$24&lt;='BA08 Coeffs'!$U24,('BA08 Coeffs'!$R24-'BA08 Coeffs'!$S24)*LN($A$24/'BA08 Coeffs'!$U24)/LN('BA08 Coeffs'!$T24/'BA08 Coeffs'!$U24)+'BA08 Coeffs'!$S24,IF($A$24&lt;='BA08 Coeffs'!$Q24,'BA08 Coeffs'!$S24*LN($A$24/'BA08 Coeffs'!$Q24)/LN('BA08 Coeffs'!$U24/'BA08 Coeffs'!$Q24),0)))</f>
        <v>0</v>
      </c>
      <c r="G25" s="14">
        <f>'BA08 Coeffs'!Y24</f>
        <v>0.626</v>
      </c>
      <c r="H25" s="14">
        <f>'BA08 Coeffs'!Z24</f>
        <v>0.46500000000000002</v>
      </c>
      <c r="I25" s="14">
        <f>'BA08 Coeffs'!AA24</f>
        <v>0.78100000000000003</v>
      </c>
      <c r="J25" s="14">
        <f>'BA08 Coeffs'!AB24</f>
        <v>0.47699999999999998</v>
      </c>
      <c r="K25" s="14">
        <f>'BA08 Coeffs'!AC24</f>
        <v>0.78700000000000003</v>
      </c>
    </row>
    <row r="26" spans="1:11" ht="15.75" customHeight="1">
      <c r="A26" s="1" t="s">
        <v>144</v>
      </c>
      <c r="B26" s="16"/>
      <c r="C26" s="1"/>
      <c r="D26" s="31">
        <v>10</v>
      </c>
      <c r="E26" s="28">
        <f>EXP('BA08 Coeffs'!$B25*$A$12+'BA08 Coeffs'!$C25*$A$15+'BA08 Coeffs'!$D25*$A$18+'BA08 Coeffs'!$E25*$A$21+IF($A$6&lt;='BA08 Coeffs'!$I25,'BA08 Coeffs'!$F25*($A$6-'BA08 Coeffs'!$I25)+'BA08 Coeffs'!$G25*($A$6-'BA08 Coeffs'!$I25)^2,'BA08 Coeffs'!$H25*($A$6-'BA08 Coeffs'!$I25))+('BA08 Coeffs'!$J25+'BA08 Coeffs'!$K25*($A$6-'BA08 Coeffs'!$M25))*LN(SQRT($A$9^2+'BA08 Coeffs'!$O25^2)/'BA08 Coeffs'!$N25)+'BA08 Coeffs'!$L25*(SQRT($A$9^2+'BA08 Coeffs'!$O25^2)-'BA08 Coeffs'!$N25)+'BA08 Coeffs'!$P25*LN($A$24/'BA08 Coeffs'!$Q25)+IF($A$29&lt;='BA08 Coeffs'!$V25,$F26*LN('BA08 Coeffs'!$W25/0.1),IF($A$29&lt;='BA08 Coeffs'!$X25,$F26*LN('BA08 Coeffs'!$W25/0.1)+((3*$F26*LN('BA08 Coeffs'!$X25/'BA08 Coeffs'!$W25)-$F26*LN('BA08 Coeffs'!$X25/'BA08 Coeffs'!$V25))/LN('BA08 Coeffs'!$X25/'BA08 Coeffs'!$V25)^2)*LN($A$29/'BA08 Coeffs'!$V25)^2-((2*$F26*LN('BA08 Coeffs'!$X25/'BA08 Coeffs'!$W25)-$F26*LN('BA08 Coeffs'!$X25/'BA08 Coeffs'!$V25))/LN('BA08 Coeffs'!$X25/'BA08 Coeffs'!$V25)^3)*LN($A$29/'BA08 Coeffs'!$V25)^3,$F26*LN($A$29/0.1))))</f>
        <v>8.4145584288420946E-3</v>
      </c>
      <c r="F26" s="27">
        <f>IF($A$24&lt;='BA08 Coeffs'!$T25,'BA08 Coeffs'!$R25,IF($A$24&lt;='BA08 Coeffs'!$U25,('BA08 Coeffs'!$R25-'BA08 Coeffs'!$S25)*LN($A$24/'BA08 Coeffs'!$U25)/LN('BA08 Coeffs'!$T25/'BA08 Coeffs'!$U25)+'BA08 Coeffs'!$S25,IF($A$24&lt;='BA08 Coeffs'!$Q25,'BA08 Coeffs'!$S25*LN($A$24/'BA08 Coeffs'!$Q25)/LN('BA08 Coeffs'!$U25/'BA08 Coeffs'!$Q25),0)))</f>
        <v>0</v>
      </c>
      <c r="G26" s="14">
        <f>'BA08 Coeffs'!Y25</f>
        <v>0.64500000000000002</v>
      </c>
      <c r="H26" s="14">
        <f>'BA08 Coeffs'!Z25</f>
        <v>0.35499999999999998</v>
      </c>
      <c r="I26" s="14">
        <f>'BA08 Coeffs'!AA25</f>
        <v>0.73499999999999999</v>
      </c>
      <c r="J26" s="14">
        <f>'BA08 Coeffs'!AB25</f>
        <v>0.47699999999999998</v>
      </c>
      <c r="K26" s="14">
        <f>'BA08 Coeffs'!AC25</f>
        <v>0.80100000000000005</v>
      </c>
    </row>
    <row r="27" spans="1:11" ht="15.75" customHeight="1">
      <c r="A27" s="17"/>
      <c r="B27" s="16"/>
      <c r="C27" s="1"/>
      <c r="D27" s="35"/>
      <c r="E27" s="28"/>
      <c r="F27" s="27"/>
      <c r="G27" s="14"/>
      <c r="H27" s="14"/>
      <c r="I27" s="14"/>
      <c r="J27" s="14"/>
      <c r="K27" s="14"/>
    </row>
    <row r="28" spans="1:11" ht="15.75" customHeight="1">
      <c r="A28" s="12" t="s">
        <v>128</v>
      </c>
      <c r="B28" s="16"/>
      <c r="C28" s="1" t="s">
        <v>31</v>
      </c>
      <c r="D28" s="32">
        <v>0</v>
      </c>
      <c r="E28" s="28">
        <f>EXP('BA08 Coeffs'!$B26*$A$12+'BA08 Coeffs'!$C26*$A$15+'BA08 Coeffs'!$D26*$A$18+'BA08 Coeffs'!$E26*$A$21+IF($A$6&lt;='BA08 Coeffs'!$I26,'BA08 Coeffs'!$F26*($A$6-'BA08 Coeffs'!$I26)+'BA08 Coeffs'!$G26*($A$6-'BA08 Coeffs'!$I26)^2,'BA08 Coeffs'!$H26*($A$6-'BA08 Coeffs'!$I26))+('BA08 Coeffs'!$J26+'BA08 Coeffs'!$K26*($A$6-'BA08 Coeffs'!$M26))*LN(SQRT($A$9^2+'BA08 Coeffs'!$O26^2)/'BA08 Coeffs'!$N26)+'BA08 Coeffs'!$L26*(SQRT($A$9^2+'BA08 Coeffs'!$O26^2)-'BA08 Coeffs'!$N26)+'BA08 Coeffs'!$P26*LN($A$24/'BA08 Coeffs'!$Q26)+IF($A$29&lt;='BA08 Coeffs'!$V26,$F28*LN('BA08 Coeffs'!$W26/0.1),IF($A$29&lt;='BA08 Coeffs'!$X26,$F28*LN('BA08 Coeffs'!$W26/0.1)+((3*$F28*LN('BA08 Coeffs'!$X26/'BA08 Coeffs'!$W26)-$F28*LN('BA08 Coeffs'!$X26/'BA08 Coeffs'!$V26))/LN('BA08 Coeffs'!$X26/'BA08 Coeffs'!$V26)^2)*LN($A$29/'BA08 Coeffs'!$V26)^2-((2*$F28*LN('BA08 Coeffs'!$X26/'BA08 Coeffs'!$W26)-$F28*LN('BA08 Coeffs'!$X26/'BA08 Coeffs'!$V26))/LN('BA08 Coeffs'!$X26/'BA08 Coeffs'!$V26)^3)*LN($A$29/'BA08 Coeffs'!$V26)^3,$F28*LN($A$29/0.1))))</f>
        <v>0.16377686497365829</v>
      </c>
      <c r="F28" s="27">
        <f>IF($A$24&lt;='BA08 Coeffs'!$T26,'BA08 Coeffs'!$R26,IF($A$24&lt;='BA08 Coeffs'!$U26,('BA08 Coeffs'!$R26-'BA08 Coeffs'!$S26)*LN($A$24/'BA08 Coeffs'!$U26)/LN('BA08 Coeffs'!$T26/'BA08 Coeffs'!$U26)+'BA08 Coeffs'!$S26,IF($A$24&lt;='BA08 Coeffs'!$Q26,'BA08 Coeffs'!$S26*LN($A$24/'BA08 Coeffs'!$Q26)/LN('BA08 Coeffs'!$U26/'BA08 Coeffs'!$Q26),0)))</f>
        <v>0</v>
      </c>
      <c r="G28" s="14">
        <f>'BA08 Coeffs'!Y26</f>
        <v>0.502</v>
      </c>
      <c r="H28" s="14">
        <f>'BA08 Coeffs'!Z26</f>
        <v>0.26500000000000001</v>
      </c>
      <c r="I28" s="14">
        <f>'BA08 Coeffs'!AA26</f>
        <v>0.56599999999999995</v>
      </c>
      <c r="J28" s="14">
        <f>'BA08 Coeffs'!AB26</f>
        <v>0.26</v>
      </c>
      <c r="K28" s="14">
        <f>'BA08 Coeffs'!AC26</f>
        <v>0.56399999999999995</v>
      </c>
    </row>
    <row r="29" spans="1:11" ht="15.75" customHeight="1">
      <c r="A29" s="28">
        <f>EXP('BA08 Coeffs'!$B$26*$A$12+'BA08 Coeffs'!$C$26*$A$15+'BA08 Coeffs'!$D$26*$A$18+'BA08 Coeffs'!$E$26*$A$21+IF($A$6&lt;='BA08 Coeffs'!$I$26,'BA08 Coeffs'!$F$26*($A$6-'BA08 Coeffs'!$I$26)+'BA08 Coeffs'!$G$26*($A$6-'BA08 Coeffs'!$I$26)^2,'BA08 Coeffs'!$H$26*($A$6-'BA08 Coeffs'!$I$26))+('BA08 Coeffs'!$J$26+'BA08 Coeffs'!$K$26*($A$6-'BA08 Coeffs'!$M$26))*LN(SQRT($A$9^2+'BA08 Coeffs'!$O$26^2)/'BA08 Coeffs'!$N$26)+'BA08 Coeffs'!$L$26*(SQRT($A$9^2+'BA08 Coeffs'!$O$26^2)-'BA08 Coeffs'!$N$26)+'BA08 Coeffs'!$P26*LN(760/'BA08 Coeffs'!$Q26))</f>
        <v>0.16377686497365829</v>
      </c>
      <c r="B29" s="16"/>
      <c r="C29" s="1" t="s">
        <v>59</v>
      </c>
      <c r="D29" s="32">
        <v>-1</v>
      </c>
      <c r="E29" s="28">
        <f>EXP('BA08 Coeffs'!$B27*$A$12+'BA08 Coeffs'!$C27*$A$15+'BA08 Coeffs'!$D27*$A$18+'BA08 Coeffs'!$E27*$A$21+IF($A$6&lt;='BA08 Coeffs'!$I27,'BA08 Coeffs'!$F27*($A$6-'BA08 Coeffs'!$I27)+'BA08 Coeffs'!$G27*($A$6-'BA08 Coeffs'!$I27)^2,'BA08 Coeffs'!$H27*($A$6-'BA08 Coeffs'!$I27))+('BA08 Coeffs'!$J27+'BA08 Coeffs'!$K27*($A$6-'BA08 Coeffs'!$M27))*LN(SQRT($A$9^2+'BA08 Coeffs'!$O27^2)/'BA08 Coeffs'!$N27)+'BA08 Coeffs'!$L27*(SQRT($A$9^2+'BA08 Coeffs'!$O27^2)-'BA08 Coeffs'!$N27)+'BA08 Coeffs'!$P27*LN($A$24/'BA08 Coeffs'!$Q27)+IF($A$29&lt;='BA08 Coeffs'!$V27,$F29*LN('BA08 Coeffs'!$W27/0.1),IF($A$29&lt;='BA08 Coeffs'!$X27,$F29*LN('BA08 Coeffs'!$W27/0.1)+((3*$F29*LN('BA08 Coeffs'!$X27/'BA08 Coeffs'!$W27)-$F29*LN('BA08 Coeffs'!$X27/'BA08 Coeffs'!$V27))/LN('BA08 Coeffs'!$X27/'BA08 Coeffs'!$V27)^2)*LN($A$29/'BA08 Coeffs'!$V27)^2-((2*$F29*LN('BA08 Coeffs'!$X27/'BA08 Coeffs'!$W27)-$F29*LN('BA08 Coeffs'!$X27/'BA08 Coeffs'!$V27))/LN('BA08 Coeffs'!$X27/'BA08 Coeffs'!$V27)^3)*LN($A$29/'BA08 Coeffs'!$V27)^3,$F29*LN($A$29/0.1))))</f>
        <v>15.583243239164098</v>
      </c>
      <c r="F29" s="27">
        <f>IF($A$24&lt;='BA08 Coeffs'!$T27,'BA08 Coeffs'!$R27,IF($A$24&lt;='BA08 Coeffs'!$U27,('BA08 Coeffs'!$R27-'BA08 Coeffs'!$S27)*LN($A$24/'BA08 Coeffs'!$U27)/LN('BA08 Coeffs'!$T27/'BA08 Coeffs'!$U27)+'BA08 Coeffs'!$S27,IF($A$24&lt;='BA08 Coeffs'!$Q27,'BA08 Coeffs'!$S27*LN($A$24/'BA08 Coeffs'!$Q27)/LN('BA08 Coeffs'!$U27/'BA08 Coeffs'!$Q27),0)))</f>
        <v>0</v>
      </c>
      <c r="G29" s="14">
        <f>'BA08 Coeffs'!Y27</f>
        <v>0.5</v>
      </c>
      <c r="H29" s="14">
        <f>'BA08 Coeffs'!Z27</f>
        <v>0.28599999999999998</v>
      </c>
      <c r="I29" s="14">
        <f>'BA08 Coeffs'!AA27</f>
        <v>0.57599999999999996</v>
      </c>
      <c r="J29" s="14">
        <f>'BA08 Coeffs'!AB27</f>
        <v>0.25600000000000001</v>
      </c>
      <c r="K29" s="14">
        <f>'BA08 Coeffs'!AC27</f>
        <v>0.56000000000000005</v>
      </c>
    </row>
    <row r="30" spans="1:11" ht="15.75" customHeight="1">
      <c r="A30" s="28"/>
      <c r="B30" s="16"/>
    </row>
    <row r="31" spans="1:11" ht="15.75" customHeight="1">
      <c r="A31" s="28"/>
      <c r="B31" s="16"/>
      <c r="C31" s="1"/>
      <c r="D31" s="32"/>
      <c r="E31" s="32"/>
      <c r="F31" s="27"/>
      <c r="G31" s="2"/>
      <c r="H31" s="2"/>
      <c r="I31" s="2"/>
      <c r="J31" s="2"/>
    </row>
    <row r="32" spans="1:11" ht="15.75" customHeight="1">
      <c r="A32" s="40" t="s">
        <v>34</v>
      </c>
      <c r="B32" s="16"/>
      <c r="C32" s="1"/>
      <c r="D32" s="16"/>
      <c r="E32" s="16"/>
      <c r="F32" s="16"/>
    </row>
    <row r="33" spans="1:16" ht="15.75" customHeight="1">
      <c r="B33" s="16"/>
      <c r="C33" s="1"/>
    </row>
    <row r="34" spans="1:16" ht="15.75" customHeight="1">
      <c r="A34" s="41" t="s">
        <v>50</v>
      </c>
      <c r="B34" s="37" t="s">
        <v>39</v>
      </c>
      <c r="C34" s="1"/>
    </row>
    <row r="35" spans="1:16" ht="15.75" customHeight="1">
      <c r="A35" s="41" t="s">
        <v>35</v>
      </c>
      <c r="B35" s="37" t="s">
        <v>36</v>
      </c>
      <c r="C35" s="1"/>
    </row>
    <row r="36" spans="1:16" ht="15.75" customHeight="1">
      <c r="A36" s="41" t="s">
        <v>61</v>
      </c>
      <c r="B36" s="37" t="s">
        <v>65</v>
      </c>
      <c r="C36" s="1"/>
    </row>
    <row r="37" spans="1:16" ht="15.75" customHeight="1">
      <c r="A37" s="42" t="s">
        <v>45</v>
      </c>
      <c r="B37" s="37" t="s">
        <v>37</v>
      </c>
      <c r="C37" s="1"/>
    </row>
    <row r="38" spans="1:16" ht="15.75" customHeight="1">
      <c r="A38" s="41" t="s">
        <v>136</v>
      </c>
      <c r="B38" s="37" t="s">
        <v>41</v>
      </c>
      <c r="C38" s="16"/>
    </row>
    <row r="39" spans="1:16" ht="15.75" customHeight="1">
      <c r="A39" s="41" t="s">
        <v>131</v>
      </c>
      <c r="B39" s="37" t="s">
        <v>132</v>
      </c>
    </row>
    <row r="40" spans="1:16" ht="15.75" customHeight="1">
      <c r="A40" s="41" t="s">
        <v>141</v>
      </c>
      <c r="B40" s="37" t="s">
        <v>133</v>
      </c>
      <c r="O40" s="4"/>
      <c r="P40" s="4"/>
    </row>
    <row r="41" spans="1:16" ht="15.75" customHeight="1">
      <c r="A41" s="41" t="s">
        <v>142</v>
      </c>
      <c r="B41" s="37" t="s">
        <v>134</v>
      </c>
      <c r="C41" s="16"/>
      <c r="O41" s="4"/>
      <c r="P41" s="4"/>
    </row>
    <row r="42" spans="1:16" ht="15.75" customHeight="1">
      <c r="A42" s="41" t="s">
        <v>143</v>
      </c>
      <c r="B42" s="37" t="s">
        <v>135</v>
      </c>
      <c r="C42" s="16"/>
      <c r="M42" s="13"/>
      <c r="N42" s="13"/>
      <c r="O42" s="14"/>
      <c r="P42" s="14"/>
    </row>
    <row r="43" spans="1:16" ht="15.75" customHeight="1">
      <c r="A43" s="41" t="s">
        <v>137</v>
      </c>
      <c r="B43" s="37" t="s">
        <v>44</v>
      </c>
    </row>
    <row r="44" spans="1:16" ht="15.75" customHeight="1">
      <c r="A44" s="38"/>
    </row>
    <row r="45" spans="1:16" ht="15.75" customHeight="1">
      <c r="A45" s="38"/>
      <c r="C45" s="16"/>
    </row>
    <row r="46" spans="1:16" ht="15.75" customHeight="1">
      <c r="A46" s="38"/>
      <c r="C46" s="16"/>
    </row>
    <row r="47" spans="1:16">
      <c r="A47" s="38"/>
      <c r="C47" s="16"/>
    </row>
    <row r="48" spans="1:16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</sheetData>
  <sheetProtection sheet="1" deleteColumns="0" deleteRows="0" sort="0"/>
  <mergeCells count="1">
    <mergeCell ref="C3:K3"/>
  </mergeCells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8"/>
  <sheetViews>
    <sheetView workbookViewId="0">
      <selection activeCell="I3" sqref="I3"/>
    </sheetView>
  </sheetViews>
  <sheetFormatPr defaultRowHeight="12.75"/>
  <cols>
    <col min="1" max="1" width="9.140625" style="4"/>
    <col min="2" max="7" width="9.140625" style="2"/>
    <col min="8" max="8" width="9.140625" style="3"/>
    <col min="9" max="14" width="9.140625" style="2"/>
    <col min="15" max="15" width="9.140625" style="4"/>
    <col min="16" max="17" width="9.140625" style="2"/>
    <col min="18" max="23" width="9.140625" style="4"/>
  </cols>
  <sheetData>
    <row r="1" spans="1:24">
      <c r="A1" s="1" t="s">
        <v>148</v>
      </c>
    </row>
    <row r="2" spans="1:24">
      <c r="A2" s="1"/>
    </row>
    <row r="3" spans="1:24" ht="14.25">
      <c r="A3" s="5" t="s">
        <v>1</v>
      </c>
      <c r="B3" s="6" t="s">
        <v>149</v>
      </c>
      <c r="C3" s="6" t="s">
        <v>2</v>
      </c>
      <c r="D3" s="6" t="s">
        <v>9</v>
      </c>
      <c r="E3" s="6" t="s">
        <v>111</v>
      </c>
      <c r="F3" s="6" t="s">
        <v>3</v>
      </c>
      <c r="G3" s="6" t="s">
        <v>150</v>
      </c>
      <c r="H3" s="7" t="s">
        <v>151</v>
      </c>
      <c r="I3" s="7" t="s">
        <v>152</v>
      </c>
      <c r="J3" s="7" t="s">
        <v>153</v>
      </c>
      <c r="K3" s="7" t="s">
        <v>154</v>
      </c>
      <c r="L3" s="7" t="s">
        <v>155</v>
      </c>
      <c r="M3" s="7" t="s">
        <v>156</v>
      </c>
      <c r="N3" s="7" t="s">
        <v>157</v>
      </c>
      <c r="O3" s="6" t="s">
        <v>158</v>
      </c>
      <c r="P3" s="6" t="s">
        <v>159</v>
      </c>
      <c r="Q3" s="6" t="s">
        <v>160</v>
      </c>
      <c r="R3" s="5" t="s">
        <v>8</v>
      </c>
      <c r="S3" s="5" t="s">
        <v>7</v>
      </c>
      <c r="T3" s="46" t="s">
        <v>161</v>
      </c>
      <c r="U3" s="46" t="s">
        <v>162</v>
      </c>
      <c r="V3" s="46" t="s">
        <v>163</v>
      </c>
      <c r="W3" s="46" t="s">
        <v>164</v>
      </c>
      <c r="X3" s="46" t="s">
        <v>165</v>
      </c>
    </row>
    <row r="5" spans="1:24">
      <c r="A5" s="2">
        <v>0.01</v>
      </c>
      <c r="B5" s="2">
        <v>-1.7150000000000001</v>
      </c>
      <c r="C5" s="2">
        <v>0.5</v>
      </c>
      <c r="D5" s="2">
        <v>-0.53</v>
      </c>
      <c r="E5" s="2">
        <v>-0.26200000000000001</v>
      </c>
      <c r="F5" s="2">
        <v>-2.1179999999999999</v>
      </c>
      <c r="G5" s="2">
        <v>0.17</v>
      </c>
      <c r="H5" s="3">
        <v>5.6</v>
      </c>
      <c r="I5" s="2">
        <v>0.28000000000000003</v>
      </c>
      <c r="J5" s="2">
        <v>-0.12</v>
      </c>
      <c r="K5" s="2">
        <v>0.49</v>
      </c>
      <c r="L5" s="2">
        <v>1.0580000000000001</v>
      </c>
      <c r="M5" s="2">
        <v>0.04</v>
      </c>
      <c r="N5" s="2">
        <v>0.61</v>
      </c>
      <c r="O5" s="4">
        <v>865</v>
      </c>
      <c r="P5" s="2">
        <v>-1.1859999999999999</v>
      </c>
      <c r="Q5" s="2">
        <v>1.839</v>
      </c>
      <c r="R5" s="4">
        <v>1.88</v>
      </c>
      <c r="S5" s="4">
        <v>1.18</v>
      </c>
      <c r="T5" s="2">
        <v>0.47799999999999998</v>
      </c>
      <c r="U5" s="2">
        <v>0.219</v>
      </c>
      <c r="V5" s="2">
        <v>0.3</v>
      </c>
      <c r="W5" s="2">
        <v>0.16600000000000001</v>
      </c>
      <c r="X5" s="2">
        <v>1</v>
      </c>
    </row>
    <row r="6" spans="1:24">
      <c r="A6" s="2">
        <v>0.02</v>
      </c>
      <c r="B6" s="2">
        <v>-1.68</v>
      </c>
      <c r="C6" s="2">
        <v>0.5</v>
      </c>
      <c r="D6" s="2">
        <v>-0.53</v>
      </c>
      <c r="E6" s="2">
        <v>-0.26200000000000001</v>
      </c>
      <c r="F6" s="2">
        <v>-2.1230000000000002</v>
      </c>
      <c r="G6" s="2">
        <v>0.17</v>
      </c>
      <c r="H6" s="3">
        <v>5.6</v>
      </c>
      <c r="I6" s="2">
        <v>0.28000000000000003</v>
      </c>
      <c r="J6" s="2">
        <v>-0.12</v>
      </c>
      <c r="K6" s="2">
        <v>0.49</v>
      </c>
      <c r="L6" s="2">
        <v>1.1020000000000001</v>
      </c>
      <c r="M6" s="2">
        <v>0.04</v>
      </c>
      <c r="N6" s="2">
        <v>0.61</v>
      </c>
      <c r="O6" s="4">
        <v>865</v>
      </c>
      <c r="P6" s="2">
        <v>-1.2190000000000001</v>
      </c>
      <c r="Q6" s="2">
        <v>1.84</v>
      </c>
      <c r="R6" s="4">
        <v>1.88</v>
      </c>
      <c r="S6" s="4">
        <v>1.18</v>
      </c>
      <c r="T6" s="2">
        <v>0.48</v>
      </c>
      <c r="U6" s="2">
        <v>0.219</v>
      </c>
      <c r="V6" s="2">
        <v>0.3</v>
      </c>
      <c r="W6" s="2">
        <v>0.16600000000000001</v>
      </c>
      <c r="X6" s="2">
        <v>0.999</v>
      </c>
    </row>
    <row r="7" spans="1:24">
      <c r="A7" s="2">
        <v>0.03</v>
      </c>
      <c r="B7" s="2">
        <v>-1.552</v>
      </c>
      <c r="C7" s="2">
        <v>0.5</v>
      </c>
      <c r="D7" s="2">
        <v>-0.53</v>
      </c>
      <c r="E7" s="2">
        <v>-0.26200000000000001</v>
      </c>
      <c r="F7" s="2">
        <v>-2.145</v>
      </c>
      <c r="G7" s="2">
        <v>0.17</v>
      </c>
      <c r="H7" s="3">
        <v>5.6</v>
      </c>
      <c r="I7" s="2">
        <v>0.28000000000000003</v>
      </c>
      <c r="J7" s="2">
        <v>-0.12</v>
      </c>
      <c r="K7" s="2">
        <v>0.49</v>
      </c>
      <c r="L7" s="2">
        <v>1.1739999999999999</v>
      </c>
      <c r="M7" s="2">
        <v>0.04</v>
      </c>
      <c r="N7" s="2">
        <v>0.61</v>
      </c>
      <c r="O7" s="4">
        <v>908</v>
      </c>
      <c r="P7" s="2">
        <v>-1.2729999999999999</v>
      </c>
      <c r="Q7" s="2">
        <v>1.841</v>
      </c>
      <c r="R7" s="4">
        <v>1.88</v>
      </c>
      <c r="S7" s="4">
        <v>1.18</v>
      </c>
      <c r="T7" s="2">
        <v>0.48899999999999999</v>
      </c>
      <c r="U7" s="2">
        <v>0.23499999999999999</v>
      </c>
      <c r="V7" s="2">
        <v>0.3</v>
      </c>
      <c r="W7" s="2">
        <v>0.16500000000000001</v>
      </c>
      <c r="X7" s="2">
        <v>0.98899999999999999</v>
      </c>
    </row>
    <row r="8" spans="1:24">
      <c r="A8" s="2">
        <v>0.05</v>
      </c>
      <c r="B8" s="2">
        <v>-1.2090000000000001</v>
      </c>
      <c r="C8" s="2">
        <v>0.5</v>
      </c>
      <c r="D8" s="2">
        <v>-0.53</v>
      </c>
      <c r="E8" s="2">
        <v>-0.26700000000000002</v>
      </c>
      <c r="F8" s="2">
        <v>-2.1989999999999998</v>
      </c>
      <c r="G8" s="2">
        <v>0.17</v>
      </c>
      <c r="H8" s="3">
        <v>5.74</v>
      </c>
      <c r="I8" s="2">
        <v>0.28000000000000003</v>
      </c>
      <c r="J8" s="2">
        <v>-0.12</v>
      </c>
      <c r="K8" s="2">
        <v>0.49</v>
      </c>
      <c r="L8" s="2">
        <v>1.272</v>
      </c>
      <c r="M8" s="2">
        <v>0.04</v>
      </c>
      <c r="N8" s="2">
        <v>0.61</v>
      </c>
      <c r="O8" s="4">
        <v>1054</v>
      </c>
      <c r="P8" s="2">
        <v>-1.3460000000000001</v>
      </c>
      <c r="Q8" s="2">
        <v>1.843</v>
      </c>
      <c r="R8" s="4">
        <v>1.88</v>
      </c>
      <c r="S8" s="4">
        <v>1.18</v>
      </c>
      <c r="T8" s="2">
        <v>0.51</v>
      </c>
      <c r="U8" s="2">
        <v>0.25800000000000001</v>
      </c>
      <c r="V8" s="2">
        <v>0.3</v>
      </c>
      <c r="W8" s="2">
        <v>0.16200000000000001</v>
      </c>
      <c r="X8" s="2">
        <v>0.96299999999999997</v>
      </c>
    </row>
    <row r="9" spans="1:24">
      <c r="A9" s="2">
        <v>7.4999999999999997E-2</v>
      </c>
      <c r="B9" s="2">
        <v>-0.65700000000000003</v>
      </c>
      <c r="C9" s="2">
        <v>0.5</v>
      </c>
      <c r="D9" s="2">
        <v>-0.53</v>
      </c>
      <c r="E9" s="2">
        <v>-0.30199999999999999</v>
      </c>
      <c r="F9" s="2">
        <v>-2.2770000000000001</v>
      </c>
      <c r="G9" s="2">
        <v>0.17</v>
      </c>
      <c r="H9" s="3">
        <v>7.09</v>
      </c>
      <c r="I9" s="2">
        <v>0.28000000000000003</v>
      </c>
      <c r="J9" s="2">
        <v>-0.12</v>
      </c>
      <c r="K9" s="2">
        <v>0.49</v>
      </c>
      <c r="L9" s="2">
        <v>1.4379999999999999</v>
      </c>
      <c r="M9" s="2">
        <v>0.04</v>
      </c>
      <c r="N9" s="2">
        <v>0.61</v>
      </c>
      <c r="O9" s="4">
        <v>1086</v>
      </c>
      <c r="P9" s="2">
        <v>-1.4710000000000001</v>
      </c>
      <c r="Q9" s="2">
        <v>1.845</v>
      </c>
      <c r="R9" s="4">
        <v>1.88</v>
      </c>
      <c r="S9" s="4">
        <v>1.18</v>
      </c>
      <c r="T9" s="2">
        <v>0.52</v>
      </c>
      <c r="U9" s="2">
        <v>0.29199999999999998</v>
      </c>
      <c r="V9" s="2">
        <v>0.3</v>
      </c>
      <c r="W9" s="2">
        <v>0.158</v>
      </c>
      <c r="X9" s="2">
        <v>0.92200000000000004</v>
      </c>
    </row>
    <row r="10" spans="1:24">
      <c r="A10" s="3">
        <v>0.1</v>
      </c>
      <c r="B10" s="2">
        <v>-0.314</v>
      </c>
      <c r="C10" s="2">
        <v>0.5</v>
      </c>
      <c r="D10" s="2">
        <v>-0.53</v>
      </c>
      <c r="E10" s="2">
        <v>-0.32400000000000001</v>
      </c>
      <c r="F10" s="2">
        <v>-2.3180000000000001</v>
      </c>
      <c r="G10" s="2">
        <v>0.17</v>
      </c>
      <c r="H10" s="3">
        <v>8.0500000000000007</v>
      </c>
      <c r="I10" s="2">
        <v>0.28000000000000003</v>
      </c>
      <c r="J10" s="2">
        <v>-9.9000000000000005E-2</v>
      </c>
      <c r="K10" s="2">
        <v>0.49</v>
      </c>
      <c r="L10" s="2">
        <v>1.6040000000000001</v>
      </c>
      <c r="M10" s="2">
        <v>0.04</v>
      </c>
      <c r="N10" s="2">
        <v>0.61</v>
      </c>
      <c r="O10" s="4">
        <v>1032</v>
      </c>
      <c r="P10" s="2">
        <v>-1.6240000000000001</v>
      </c>
      <c r="Q10" s="2">
        <v>1.847</v>
      </c>
      <c r="R10" s="4">
        <v>1.88</v>
      </c>
      <c r="S10" s="4">
        <v>1.18</v>
      </c>
      <c r="T10" s="2">
        <v>0.53100000000000003</v>
      </c>
      <c r="U10" s="2">
        <v>0.28599999999999998</v>
      </c>
      <c r="V10" s="2">
        <v>0.3</v>
      </c>
      <c r="W10" s="2">
        <v>0.17</v>
      </c>
      <c r="X10" s="2">
        <v>0.89800000000000002</v>
      </c>
    </row>
    <row r="11" spans="1:24">
      <c r="A11" s="3">
        <v>0.15</v>
      </c>
      <c r="B11" s="2">
        <v>-0.13300000000000001</v>
      </c>
      <c r="C11" s="2">
        <v>0.5</v>
      </c>
      <c r="D11" s="2">
        <v>-0.53</v>
      </c>
      <c r="E11" s="2">
        <v>-0.33900000000000002</v>
      </c>
      <c r="F11" s="2">
        <v>-2.3090000000000002</v>
      </c>
      <c r="G11" s="2">
        <v>0.17</v>
      </c>
      <c r="H11" s="3">
        <v>8.7899999999999991</v>
      </c>
      <c r="I11" s="2">
        <v>0.28000000000000003</v>
      </c>
      <c r="J11" s="2">
        <v>-4.8000000000000001E-2</v>
      </c>
      <c r="K11" s="2">
        <v>0.49</v>
      </c>
      <c r="L11" s="2">
        <v>1.9279999999999999</v>
      </c>
      <c r="M11" s="2">
        <v>0.04</v>
      </c>
      <c r="N11" s="2">
        <v>0.61</v>
      </c>
      <c r="O11" s="4">
        <v>878</v>
      </c>
      <c r="P11" s="2">
        <v>-1.931</v>
      </c>
      <c r="Q11" s="2">
        <v>1.8520000000000001</v>
      </c>
      <c r="R11" s="4">
        <v>1.88</v>
      </c>
      <c r="S11" s="4">
        <v>1.18</v>
      </c>
      <c r="T11" s="2">
        <v>0.53200000000000003</v>
      </c>
      <c r="U11" s="2">
        <v>0.28000000000000003</v>
      </c>
      <c r="V11" s="2">
        <v>0.3</v>
      </c>
      <c r="W11" s="2">
        <v>0.18</v>
      </c>
      <c r="X11" s="2">
        <v>0.89</v>
      </c>
    </row>
    <row r="12" spans="1:24">
      <c r="A12" s="3">
        <v>0.2</v>
      </c>
      <c r="B12" s="2">
        <v>-0.48599999999999999</v>
      </c>
      <c r="C12" s="2">
        <v>0.5</v>
      </c>
      <c r="D12" s="2">
        <v>-0.44600000000000001</v>
      </c>
      <c r="E12" s="2">
        <v>-0.39800000000000002</v>
      </c>
      <c r="F12" s="2">
        <v>-2.2200000000000002</v>
      </c>
      <c r="G12" s="2">
        <v>0.17</v>
      </c>
      <c r="H12" s="3">
        <v>7.6</v>
      </c>
      <c r="I12" s="2">
        <v>0.28000000000000003</v>
      </c>
      <c r="J12" s="2">
        <v>-1.2E-2</v>
      </c>
      <c r="K12" s="2">
        <v>0.49</v>
      </c>
      <c r="L12" s="2">
        <v>2.194</v>
      </c>
      <c r="M12" s="2">
        <v>0.04</v>
      </c>
      <c r="N12" s="2">
        <v>0.61</v>
      </c>
      <c r="O12" s="4">
        <v>748</v>
      </c>
      <c r="P12" s="2">
        <v>-2.1880000000000002</v>
      </c>
      <c r="Q12" s="2">
        <v>1.8560000000000001</v>
      </c>
      <c r="R12" s="4">
        <v>1.88</v>
      </c>
      <c r="S12" s="4">
        <v>1.18</v>
      </c>
      <c r="T12" s="2">
        <v>0.53400000000000003</v>
      </c>
      <c r="U12" s="2">
        <v>0.249</v>
      </c>
      <c r="V12" s="2">
        <v>0.3</v>
      </c>
      <c r="W12" s="2">
        <v>0.186</v>
      </c>
      <c r="X12" s="2">
        <v>0.871</v>
      </c>
    </row>
    <row r="13" spans="1:24">
      <c r="A13" s="3">
        <v>0.25</v>
      </c>
      <c r="B13" s="2">
        <v>-0.89</v>
      </c>
      <c r="C13" s="2">
        <v>0.5</v>
      </c>
      <c r="D13" s="2">
        <v>-0.36199999999999999</v>
      </c>
      <c r="E13" s="2">
        <v>-0.45800000000000002</v>
      </c>
      <c r="F13" s="2">
        <v>-2.1459999999999999</v>
      </c>
      <c r="G13" s="2">
        <v>0.17</v>
      </c>
      <c r="H13" s="3">
        <v>6.58</v>
      </c>
      <c r="I13" s="2">
        <v>0.28000000000000003</v>
      </c>
      <c r="J13" s="2">
        <v>0</v>
      </c>
      <c r="K13" s="2">
        <v>0.49</v>
      </c>
      <c r="L13" s="2">
        <v>2.351</v>
      </c>
      <c r="M13" s="2">
        <v>0.04</v>
      </c>
      <c r="N13" s="50">
        <v>0.7</v>
      </c>
      <c r="O13" s="4">
        <v>654</v>
      </c>
      <c r="P13" s="2">
        <v>-2.3809999999999998</v>
      </c>
      <c r="Q13" s="2">
        <v>1.861</v>
      </c>
      <c r="R13" s="4">
        <v>1.88</v>
      </c>
      <c r="S13" s="4">
        <v>1.18</v>
      </c>
      <c r="T13" s="2">
        <v>0.53400000000000003</v>
      </c>
      <c r="U13" s="2">
        <v>0.24</v>
      </c>
      <c r="V13" s="2">
        <v>0.3</v>
      </c>
      <c r="W13" s="2">
        <v>0.191</v>
      </c>
      <c r="X13" s="2">
        <v>0.85199999999999998</v>
      </c>
    </row>
    <row r="14" spans="1:24">
      <c r="A14" s="3">
        <v>0.3</v>
      </c>
      <c r="B14" s="2">
        <v>-1.171</v>
      </c>
      <c r="C14" s="2">
        <v>0.5</v>
      </c>
      <c r="D14" s="2">
        <v>-0.29399999999999998</v>
      </c>
      <c r="E14" s="2">
        <v>-0.51100000000000001</v>
      </c>
      <c r="F14" s="2">
        <v>-2.0950000000000002</v>
      </c>
      <c r="G14" s="2">
        <v>0.17</v>
      </c>
      <c r="H14" s="3">
        <v>6.04</v>
      </c>
      <c r="I14" s="2">
        <v>0.28000000000000003</v>
      </c>
      <c r="J14" s="2">
        <v>0</v>
      </c>
      <c r="K14" s="2">
        <v>0.49</v>
      </c>
      <c r="L14" s="2">
        <v>2.46</v>
      </c>
      <c r="M14" s="2">
        <v>0.04</v>
      </c>
      <c r="N14" s="50">
        <v>0.75</v>
      </c>
      <c r="O14" s="4">
        <v>587</v>
      </c>
      <c r="P14" s="2">
        <v>-2.5179999999999998</v>
      </c>
      <c r="Q14" s="2">
        <v>1.865</v>
      </c>
      <c r="R14" s="4">
        <v>1.88</v>
      </c>
      <c r="S14" s="4">
        <v>1.18</v>
      </c>
      <c r="T14" s="2">
        <v>0.54400000000000004</v>
      </c>
      <c r="U14" s="2">
        <v>0.215</v>
      </c>
      <c r="V14" s="2">
        <v>0.3</v>
      </c>
      <c r="W14" s="2">
        <v>0.19800000000000001</v>
      </c>
      <c r="X14" s="2">
        <v>0.83099999999999996</v>
      </c>
    </row>
    <row r="15" spans="1:24">
      <c r="A15" s="3">
        <v>0.4</v>
      </c>
      <c r="B15" s="2">
        <v>-1.466</v>
      </c>
      <c r="C15" s="2">
        <v>0.5</v>
      </c>
      <c r="D15" s="2">
        <v>-0.186</v>
      </c>
      <c r="E15" s="2">
        <v>-0.59199999999999997</v>
      </c>
      <c r="F15" s="2">
        <v>-2.0659999999999998</v>
      </c>
      <c r="G15" s="2">
        <v>0.17</v>
      </c>
      <c r="H15" s="3">
        <v>5.3</v>
      </c>
      <c r="I15" s="2">
        <v>0.28000000000000003</v>
      </c>
      <c r="J15" s="2">
        <v>0</v>
      </c>
      <c r="K15" s="2">
        <v>0.49</v>
      </c>
      <c r="L15" s="2">
        <v>2.5870000000000002</v>
      </c>
      <c r="M15" s="2">
        <v>0.04</v>
      </c>
      <c r="N15" s="50">
        <v>0.85</v>
      </c>
      <c r="O15" s="4">
        <v>503</v>
      </c>
      <c r="P15" s="2">
        <v>-2.657</v>
      </c>
      <c r="Q15" s="2">
        <v>1.8740000000000001</v>
      </c>
      <c r="R15" s="4">
        <v>1.88</v>
      </c>
      <c r="S15" s="4">
        <v>1.18</v>
      </c>
      <c r="T15" s="2">
        <v>0.54100000000000004</v>
      </c>
      <c r="U15" s="2">
        <v>0.217</v>
      </c>
      <c r="V15" s="2">
        <v>0.3</v>
      </c>
      <c r="W15" s="2">
        <v>0.20599999999999999</v>
      </c>
      <c r="X15" s="2">
        <v>0.78500000000000003</v>
      </c>
    </row>
    <row r="16" spans="1:24">
      <c r="A16" s="3">
        <v>0.5</v>
      </c>
      <c r="B16" s="2">
        <v>-2.569</v>
      </c>
      <c r="C16" s="2">
        <v>0.65600000000000003</v>
      </c>
      <c r="D16" s="2">
        <v>-0.30399999999999999</v>
      </c>
      <c r="E16" s="2">
        <v>-0.53600000000000003</v>
      </c>
      <c r="F16" s="2">
        <v>-2.0409999999999999</v>
      </c>
      <c r="G16" s="2">
        <v>0.17</v>
      </c>
      <c r="H16" s="3">
        <v>4.7300000000000004</v>
      </c>
      <c r="I16" s="2">
        <v>0.28000000000000003</v>
      </c>
      <c r="J16" s="2">
        <v>0</v>
      </c>
      <c r="K16" s="2">
        <v>0.49</v>
      </c>
      <c r="L16" s="2">
        <v>2.544</v>
      </c>
      <c r="M16" s="2">
        <v>0.04</v>
      </c>
      <c r="N16" s="2">
        <v>0.88300000000000001</v>
      </c>
      <c r="O16" s="4">
        <v>457</v>
      </c>
      <c r="P16" s="2">
        <v>-2.669</v>
      </c>
      <c r="Q16" s="2">
        <v>1.883</v>
      </c>
      <c r="R16" s="4">
        <v>1.88</v>
      </c>
      <c r="S16" s="4">
        <v>1.18</v>
      </c>
      <c r="T16" s="2">
        <v>0.55000000000000004</v>
      </c>
      <c r="U16" s="2">
        <v>0.214</v>
      </c>
      <c r="V16" s="2">
        <v>0.3</v>
      </c>
      <c r="W16" s="2">
        <v>0.20799999999999999</v>
      </c>
      <c r="X16" s="2">
        <v>0.73499999999999999</v>
      </c>
    </row>
    <row r="17" spans="1:24">
      <c r="A17" s="3">
        <v>0.75</v>
      </c>
      <c r="B17" s="2">
        <v>-4.8440000000000003</v>
      </c>
      <c r="C17" s="2">
        <v>0.97199999999999998</v>
      </c>
      <c r="D17" s="2">
        <v>-0.57799999999999996</v>
      </c>
      <c r="E17" s="2">
        <v>-0.40600000000000003</v>
      </c>
      <c r="F17" s="2">
        <v>-2</v>
      </c>
      <c r="G17" s="2">
        <v>0.17</v>
      </c>
      <c r="H17" s="3">
        <v>4</v>
      </c>
      <c r="I17" s="2">
        <v>0.28000000000000003</v>
      </c>
      <c r="J17" s="2">
        <v>0</v>
      </c>
      <c r="K17" s="2">
        <v>0.49</v>
      </c>
      <c r="L17" s="2">
        <v>2.133</v>
      </c>
      <c r="M17" s="2">
        <v>7.6999999999999999E-2</v>
      </c>
      <c r="N17" s="2">
        <v>1</v>
      </c>
      <c r="O17" s="4">
        <v>410</v>
      </c>
      <c r="P17" s="2">
        <v>-2.4009999999999998</v>
      </c>
      <c r="Q17" s="2">
        <v>1.9059999999999999</v>
      </c>
      <c r="R17" s="4">
        <v>1.88</v>
      </c>
      <c r="S17" s="4">
        <v>1.18</v>
      </c>
      <c r="T17" s="2">
        <v>0.56799999999999995</v>
      </c>
      <c r="U17" s="2">
        <v>0.22700000000000001</v>
      </c>
      <c r="V17" s="2">
        <v>0.3</v>
      </c>
      <c r="W17" s="2">
        <v>0.221</v>
      </c>
      <c r="X17" s="2">
        <v>0.628</v>
      </c>
    </row>
    <row r="18" spans="1:24">
      <c r="A18" s="13">
        <v>1</v>
      </c>
      <c r="B18" s="2">
        <v>-6.4059999999999997</v>
      </c>
      <c r="C18" s="2">
        <v>1.196</v>
      </c>
      <c r="D18" s="2">
        <v>-0.77200000000000002</v>
      </c>
      <c r="E18" s="2">
        <v>-0.314</v>
      </c>
      <c r="F18" s="2">
        <v>-2</v>
      </c>
      <c r="G18" s="2">
        <v>0.17</v>
      </c>
      <c r="H18" s="3">
        <v>4</v>
      </c>
      <c r="I18" s="2">
        <v>0.255</v>
      </c>
      <c r="J18" s="2">
        <v>0</v>
      </c>
      <c r="K18" s="2">
        <v>0.49</v>
      </c>
      <c r="L18" s="2">
        <v>1.571</v>
      </c>
      <c r="M18" s="2">
        <v>0.15</v>
      </c>
      <c r="N18" s="2">
        <v>1</v>
      </c>
      <c r="O18" s="4">
        <v>400</v>
      </c>
      <c r="P18" s="2">
        <v>-1.9550000000000001</v>
      </c>
      <c r="Q18" s="2">
        <v>1.929</v>
      </c>
      <c r="R18" s="4">
        <v>1.88</v>
      </c>
      <c r="S18" s="4">
        <v>1.18</v>
      </c>
      <c r="T18" s="2">
        <v>0.56799999999999995</v>
      </c>
      <c r="U18" s="2">
        <v>0.255</v>
      </c>
      <c r="V18" s="2">
        <v>0.3</v>
      </c>
      <c r="W18" s="2">
        <v>0.22500000000000001</v>
      </c>
      <c r="X18" s="2">
        <v>0.53400000000000003</v>
      </c>
    </row>
    <row r="19" spans="1:24">
      <c r="A19" s="13">
        <v>1.5</v>
      </c>
      <c r="B19" s="2">
        <v>-8.6920000000000002</v>
      </c>
      <c r="C19" s="2">
        <v>1.5129999999999999</v>
      </c>
      <c r="D19" s="2">
        <v>-1.046</v>
      </c>
      <c r="E19" s="2">
        <v>-0.185</v>
      </c>
      <c r="F19" s="2">
        <v>-2</v>
      </c>
      <c r="G19" s="2">
        <v>0.17</v>
      </c>
      <c r="H19" s="3">
        <v>4</v>
      </c>
      <c r="I19" s="2">
        <v>0.161</v>
      </c>
      <c r="J19" s="2">
        <v>0</v>
      </c>
      <c r="K19" s="2">
        <v>0.49</v>
      </c>
      <c r="L19" s="2">
        <v>0.40600000000000003</v>
      </c>
      <c r="M19" s="2">
        <v>0.253</v>
      </c>
      <c r="N19" s="2">
        <v>1</v>
      </c>
      <c r="O19" s="4">
        <v>400</v>
      </c>
      <c r="P19" s="2">
        <v>-1.0249999999999999</v>
      </c>
      <c r="Q19" s="2">
        <v>1.974</v>
      </c>
      <c r="R19" s="4">
        <v>1.88</v>
      </c>
      <c r="S19" s="4">
        <v>1.18</v>
      </c>
      <c r="T19" s="2">
        <v>0.56399999999999995</v>
      </c>
      <c r="U19" s="2">
        <v>0.29599999999999999</v>
      </c>
      <c r="V19" s="2">
        <v>0.3</v>
      </c>
      <c r="W19" s="2">
        <v>0.222</v>
      </c>
      <c r="X19" s="2">
        <v>0.41099999999999998</v>
      </c>
    </row>
    <row r="20" spans="1:24">
      <c r="A20" s="13">
        <v>2</v>
      </c>
      <c r="B20" s="2">
        <v>-9.7010000000000005</v>
      </c>
      <c r="C20" s="2">
        <v>1.6</v>
      </c>
      <c r="D20" s="2">
        <v>-0.97799999999999998</v>
      </c>
      <c r="E20" s="2">
        <v>-0.23599999999999999</v>
      </c>
      <c r="F20" s="2">
        <v>-2</v>
      </c>
      <c r="G20" s="2">
        <v>0.17</v>
      </c>
      <c r="H20" s="3">
        <v>4</v>
      </c>
      <c r="I20" s="2">
        <v>9.4E-2</v>
      </c>
      <c r="J20" s="2">
        <v>0</v>
      </c>
      <c r="K20" s="2">
        <v>0.371</v>
      </c>
      <c r="L20" s="2">
        <v>-0.45600000000000002</v>
      </c>
      <c r="M20" s="2">
        <v>0.3</v>
      </c>
      <c r="N20" s="2">
        <v>1</v>
      </c>
      <c r="O20" s="4">
        <v>400</v>
      </c>
      <c r="P20" s="2">
        <v>-0.29899999999999999</v>
      </c>
      <c r="Q20" s="2">
        <v>2.0190000000000001</v>
      </c>
      <c r="R20" s="4">
        <v>1.88</v>
      </c>
      <c r="S20" s="4">
        <v>1.18</v>
      </c>
      <c r="T20" s="2">
        <v>0.57099999999999995</v>
      </c>
      <c r="U20" s="2">
        <v>0.29599999999999999</v>
      </c>
      <c r="V20" s="2">
        <v>0.3</v>
      </c>
      <c r="W20" s="2">
        <v>0.22600000000000001</v>
      </c>
      <c r="X20" s="2">
        <v>0.33100000000000002</v>
      </c>
    </row>
    <row r="21" spans="1:24">
      <c r="A21" s="13">
        <v>3</v>
      </c>
      <c r="B21" s="2">
        <v>-10.555999999999999</v>
      </c>
      <c r="C21" s="2">
        <v>1.6</v>
      </c>
      <c r="D21" s="2">
        <v>-0.63800000000000001</v>
      </c>
      <c r="E21" s="2">
        <v>-0.49099999999999999</v>
      </c>
      <c r="F21" s="2">
        <v>-2</v>
      </c>
      <c r="G21" s="2">
        <v>0.17</v>
      </c>
      <c r="H21" s="3">
        <v>4</v>
      </c>
      <c r="I21" s="2">
        <v>0</v>
      </c>
      <c r="J21" s="2">
        <v>0</v>
      </c>
      <c r="K21" s="2">
        <v>0.154</v>
      </c>
      <c r="L21" s="2">
        <v>-0.82</v>
      </c>
      <c r="M21" s="2">
        <v>0.3</v>
      </c>
      <c r="N21" s="2">
        <v>1</v>
      </c>
      <c r="O21" s="4">
        <v>400</v>
      </c>
      <c r="P21" s="2">
        <v>0</v>
      </c>
      <c r="Q21" s="2">
        <v>2.11</v>
      </c>
      <c r="R21" s="4">
        <v>1.88</v>
      </c>
      <c r="S21" s="4">
        <v>1.18</v>
      </c>
      <c r="T21" s="2">
        <v>0.55800000000000005</v>
      </c>
      <c r="U21" s="2">
        <v>0.32600000000000001</v>
      </c>
      <c r="V21" s="2">
        <v>0.3</v>
      </c>
      <c r="W21" s="2">
        <v>0.22900000000000001</v>
      </c>
      <c r="X21" s="2">
        <v>0.28899999999999998</v>
      </c>
    </row>
    <row r="22" spans="1:24">
      <c r="A22" s="13">
        <v>4</v>
      </c>
      <c r="B22" s="2">
        <v>-11.212</v>
      </c>
      <c r="C22" s="2">
        <v>1.6</v>
      </c>
      <c r="D22" s="2">
        <v>-0.316</v>
      </c>
      <c r="E22" s="2">
        <v>-0.77</v>
      </c>
      <c r="F22" s="2">
        <v>-2</v>
      </c>
      <c r="G22" s="2">
        <v>0.17</v>
      </c>
      <c r="H22" s="3">
        <v>4</v>
      </c>
      <c r="I22" s="2">
        <v>0</v>
      </c>
      <c r="J22" s="2">
        <v>0</v>
      </c>
      <c r="K22" s="2">
        <v>0</v>
      </c>
      <c r="L22" s="2">
        <v>-0.82</v>
      </c>
      <c r="M22" s="2">
        <v>0.3</v>
      </c>
      <c r="N22" s="2">
        <v>1</v>
      </c>
      <c r="O22" s="4">
        <v>400</v>
      </c>
      <c r="P22" s="2">
        <v>0</v>
      </c>
      <c r="Q22" s="2">
        <v>2.2000000000000002</v>
      </c>
      <c r="R22" s="4">
        <v>1.88</v>
      </c>
      <c r="S22" s="4">
        <v>1.18</v>
      </c>
      <c r="T22" s="2">
        <v>0.57599999999999996</v>
      </c>
      <c r="U22" s="2">
        <v>0.29699999999999999</v>
      </c>
      <c r="V22" s="2">
        <v>0.3</v>
      </c>
      <c r="W22" s="2">
        <v>0.23699999999999999</v>
      </c>
      <c r="X22" s="2">
        <v>0.26100000000000001</v>
      </c>
    </row>
    <row r="23" spans="1:24">
      <c r="A23" s="13">
        <v>5</v>
      </c>
      <c r="B23" s="2">
        <v>-11.683999999999999</v>
      </c>
      <c r="C23" s="2">
        <v>1.6</v>
      </c>
      <c r="D23" s="2">
        <v>-7.0000000000000007E-2</v>
      </c>
      <c r="E23" s="2">
        <v>-0.98599999999999999</v>
      </c>
      <c r="F23" s="2">
        <v>-2</v>
      </c>
      <c r="G23" s="2">
        <v>0.17</v>
      </c>
      <c r="H23" s="3">
        <v>4</v>
      </c>
      <c r="I23" s="2">
        <v>0</v>
      </c>
      <c r="J23" s="2">
        <v>0</v>
      </c>
      <c r="K23" s="2">
        <v>0</v>
      </c>
      <c r="L23" s="2">
        <v>-0.82</v>
      </c>
      <c r="M23" s="2">
        <v>0.3</v>
      </c>
      <c r="N23" s="2">
        <v>1</v>
      </c>
      <c r="O23" s="4">
        <v>400</v>
      </c>
      <c r="P23" s="2">
        <v>0</v>
      </c>
      <c r="Q23" s="2">
        <v>2.2909999999999999</v>
      </c>
      <c r="R23" s="4">
        <v>1.88</v>
      </c>
      <c r="S23" s="4">
        <v>1.18</v>
      </c>
      <c r="T23" s="2">
        <v>0.60099999999999998</v>
      </c>
      <c r="U23" s="2">
        <v>0.35899999999999999</v>
      </c>
      <c r="V23" s="2">
        <v>0.3</v>
      </c>
      <c r="W23" s="2">
        <v>0.23699999999999999</v>
      </c>
      <c r="X23" s="2">
        <v>0.2</v>
      </c>
    </row>
    <row r="24" spans="1:24">
      <c r="A24" s="13">
        <v>7.5</v>
      </c>
      <c r="B24" s="2">
        <v>-12.505000000000001</v>
      </c>
      <c r="C24" s="2">
        <v>1.6</v>
      </c>
      <c r="D24" s="2">
        <v>-7.0000000000000007E-2</v>
      </c>
      <c r="E24" s="2">
        <v>-0.65600000000000003</v>
      </c>
      <c r="F24" s="2">
        <v>-2</v>
      </c>
      <c r="G24" s="2">
        <v>0.17</v>
      </c>
      <c r="H24" s="3">
        <v>4</v>
      </c>
      <c r="I24" s="2">
        <v>0</v>
      </c>
      <c r="J24" s="2">
        <v>0</v>
      </c>
      <c r="K24" s="2">
        <v>0</v>
      </c>
      <c r="L24" s="2">
        <v>-0.82</v>
      </c>
      <c r="M24" s="2">
        <v>0.3</v>
      </c>
      <c r="N24" s="2">
        <v>1</v>
      </c>
      <c r="O24" s="4">
        <v>400</v>
      </c>
      <c r="P24" s="2">
        <v>0</v>
      </c>
      <c r="Q24" s="2">
        <v>2.5169999999999999</v>
      </c>
      <c r="R24" s="4">
        <v>1.88</v>
      </c>
      <c r="S24" s="4">
        <v>1.18</v>
      </c>
      <c r="T24" s="2">
        <v>0.628</v>
      </c>
      <c r="U24" s="2">
        <v>0.42799999999999999</v>
      </c>
      <c r="V24" s="2">
        <v>0.3</v>
      </c>
      <c r="W24" s="2">
        <v>0.27100000000000002</v>
      </c>
      <c r="X24" s="2">
        <v>0.17399999999999999</v>
      </c>
    </row>
    <row r="25" spans="1:24">
      <c r="A25" s="13">
        <v>10</v>
      </c>
      <c r="B25" s="2">
        <v>-13.087</v>
      </c>
      <c r="C25" s="2">
        <v>1.6</v>
      </c>
      <c r="D25" s="2">
        <v>-7.0000000000000007E-2</v>
      </c>
      <c r="E25" s="2">
        <v>-0.42199999999999999</v>
      </c>
      <c r="F25" s="2">
        <v>-2</v>
      </c>
      <c r="G25" s="2">
        <v>0.17</v>
      </c>
      <c r="H25" s="3">
        <v>4</v>
      </c>
      <c r="I25" s="2">
        <v>0</v>
      </c>
      <c r="J25" s="2">
        <v>0</v>
      </c>
      <c r="K25" s="2">
        <v>0</v>
      </c>
      <c r="L25" s="2">
        <v>-0.82</v>
      </c>
      <c r="M25" s="2">
        <v>0.3</v>
      </c>
      <c r="N25" s="2">
        <v>1</v>
      </c>
      <c r="O25" s="4">
        <v>400</v>
      </c>
      <c r="P25" s="2">
        <v>0</v>
      </c>
      <c r="Q25" s="2">
        <v>2.7440000000000002</v>
      </c>
      <c r="R25" s="4">
        <v>1.88</v>
      </c>
      <c r="S25" s="4">
        <v>1.18</v>
      </c>
      <c r="T25" s="2">
        <v>0.66700000000000004</v>
      </c>
      <c r="U25" s="2">
        <v>0.48499999999999999</v>
      </c>
      <c r="V25" s="2">
        <v>0.3</v>
      </c>
      <c r="W25" s="2">
        <v>0.28999999999999998</v>
      </c>
      <c r="X25" s="2">
        <v>0.17399999999999999</v>
      </c>
    </row>
    <row r="26" spans="1:24">
      <c r="A26" s="48">
        <v>0</v>
      </c>
      <c r="B26" s="2">
        <v>-1.7150000000000001</v>
      </c>
      <c r="C26" s="2">
        <v>0.5</v>
      </c>
      <c r="D26" s="2">
        <v>-0.53</v>
      </c>
      <c r="E26" s="2">
        <v>-0.26200000000000001</v>
      </c>
      <c r="F26" s="2">
        <v>-2.1179999999999999</v>
      </c>
      <c r="G26" s="2">
        <v>0.17</v>
      </c>
      <c r="H26" s="3">
        <v>5.6</v>
      </c>
      <c r="I26" s="2">
        <v>0.28000000000000003</v>
      </c>
      <c r="J26" s="2">
        <v>-0.12</v>
      </c>
      <c r="K26" s="2">
        <v>0.49</v>
      </c>
      <c r="L26" s="2">
        <v>1.0580000000000001</v>
      </c>
      <c r="M26" s="2">
        <v>0.04</v>
      </c>
      <c r="N26" s="2">
        <v>0.61</v>
      </c>
      <c r="O26" s="4">
        <v>865</v>
      </c>
      <c r="P26" s="2">
        <v>-1.1859999999999999</v>
      </c>
      <c r="Q26" s="2">
        <v>1.839</v>
      </c>
      <c r="R26" s="4">
        <v>1.88</v>
      </c>
      <c r="S26" s="4">
        <v>1.18</v>
      </c>
      <c r="T26" s="2">
        <v>0.47799999999999998</v>
      </c>
      <c r="U26" s="2">
        <v>0.219</v>
      </c>
      <c r="V26" s="2">
        <v>0.3</v>
      </c>
      <c r="W26" s="2">
        <v>0.16600000000000001</v>
      </c>
      <c r="X26" s="2">
        <v>1</v>
      </c>
    </row>
    <row r="27" spans="1:24">
      <c r="A27" s="48">
        <v>-1</v>
      </c>
      <c r="B27" s="2">
        <v>0.95399999999999996</v>
      </c>
      <c r="C27" s="2">
        <v>0.69599999999999995</v>
      </c>
      <c r="D27" s="2">
        <v>-0.309</v>
      </c>
      <c r="E27" s="2">
        <v>-1.9E-2</v>
      </c>
      <c r="F27" s="2">
        <v>-2.016</v>
      </c>
      <c r="G27" s="2">
        <v>0.17</v>
      </c>
      <c r="H27" s="3">
        <v>4</v>
      </c>
      <c r="I27" s="2">
        <v>0.245</v>
      </c>
      <c r="J27" s="2">
        <v>0</v>
      </c>
      <c r="K27" s="2">
        <v>0.35799999999999998</v>
      </c>
      <c r="L27" s="2">
        <v>1.694</v>
      </c>
      <c r="M27" s="2">
        <v>9.1999999999999998E-2</v>
      </c>
      <c r="N27" s="2">
        <v>1</v>
      </c>
      <c r="O27" s="4">
        <v>400</v>
      </c>
      <c r="P27" s="2">
        <v>-1.9550000000000001</v>
      </c>
      <c r="Q27" s="2">
        <v>1.929</v>
      </c>
      <c r="R27" s="4">
        <v>1.88</v>
      </c>
      <c r="S27" s="4">
        <v>1.18</v>
      </c>
      <c r="T27" s="2">
        <v>0.48399999999999999</v>
      </c>
      <c r="U27" s="2">
        <v>0.20300000000000001</v>
      </c>
      <c r="V27" s="2">
        <v>0.3</v>
      </c>
      <c r="W27" s="2">
        <v>0.19</v>
      </c>
      <c r="X27" s="2">
        <v>0.69099999999999995</v>
      </c>
    </row>
    <row r="28" spans="1:24">
      <c r="A28" s="48">
        <v>-2</v>
      </c>
      <c r="B28" s="2">
        <v>-5.27</v>
      </c>
      <c r="C28" s="2">
        <v>1.6</v>
      </c>
      <c r="D28" s="2">
        <v>-7.0000000000000007E-2</v>
      </c>
      <c r="E28" s="2">
        <v>0</v>
      </c>
      <c r="F28" s="2">
        <v>-2</v>
      </c>
      <c r="G28" s="2">
        <v>0.17</v>
      </c>
      <c r="H28" s="3">
        <v>4</v>
      </c>
      <c r="I28" s="2">
        <v>0</v>
      </c>
      <c r="J28" s="2">
        <v>0</v>
      </c>
      <c r="K28" s="2">
        <v>0</v>
      </c>
      <c r="L28" s="2">
        <v>-0.82</v>
      </c>
      <c r="M28" s="2">
        <v>0.3</v>
      </c>
      <c r="N28" s="2">
        <v>1</v>
      </c>
      <c r="O28" s="4">
        <v>400</v>
      </c>
      <c r="P28" s="2">
        <v>0</v>
      </c>
      <c r="Q28" s="2">
        <v>2.7440000000000002</v>
      </c>
      <c r="R28" s="4">
        <v>1.88</v>
      </c>
      <c r="S28" s="4">
        <v>1.18</v>
      </c>
      <c r="T28" s="2">
        <v>0.66700000000000004</v>
      </c>
      <c r="U28" s="2">
        <v>0.48499999999999999</v>
      </c>
      <c r="V28" s="2">
        <v>0.3</v>
      </c>
      <c r="W28" s="2">
        <v>0.28999999999999998</v>
      </c>
      <c r="X28" s="2">
        <v>0.17399999999999999</v>
      </c>
    </row>
  </sheetData>
  <sheetProtection sheet="1" deleteColumns="0" deleteRows="0" sort="0"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6"/>
  <sheetViews>
    <sheetView workbookViewId="0">
      <selection activeCell="J19" sqref="J19"/>
    </sheetView>
  </sheetViews>
  <sheetFormatPr defaultRowHeight="12.75"/>
  <cols>
    <col min="1" max="1" width="11.42578125" bestFit="1" customWidth="1"/>
    <col min="5" max="5" width="10.85546875" bestFit="1" customWidth="1"/>
  </cols>
  <sheetData>
    <row r="1" spans="1:11" ht="15.75" customHeight="1">
      <c r="A1" s="1" t="s">
        <v>181</v>
      </c>
      <c r="B1" s="16"/>
      <c r="C1" s="16"/>
      <c r="D1" s="16"/>
      <c r="E1" s="16"/>
      <c r="F1" s="16"/>
      <c r="G1" s="16"/>
      <c r="H1" s="16"/>
    </row>
    <row r="2" spans="1:11" ht="15.75" customHeight="1">
      <c r="A2" s="16"/>
      <c r="B2" s="16"/>
      <c r="C2" s="16"/>
      <c r="D2" s="16"/>
      <c r="E2" s="16"/>
      <c r="F2" s="16"/>
      <c r="G2" s="17"/>
      <c r="H2" s="17"/>
    </row>
    <row r="3" spans="1:11" ht="15.75" customHeight="1">
      <c r="A3" s="1" t="s">
        <v>47</v>
      </c>
      <c r="B3" s="12"/>
      <c r="C3" s="105" t="s">
        <v>182</v>
      </c>
      <c r="D3" s="105"/>
      <c r="E3" s="105"/>
      <c r="F3" s="105"/>
      <c r="G3" s="105"/>
      <c r="H3" s="105"/>
      <c r="I3" s="105"/>
      <c r="J3" s="105"/>
      <c r="K3" s="105"/>
    </row>
    <row r="4" spans="1:11" ht="15.75" customHeight="1">
      <c r="A4" s="16"/>
      <c r="B4" s="16"/>
      <c r="C4" s="16"/>
      <c r="D4" s="17"/>
      <c r="E4" s="17"/>
      <c r="F4" s="17"/>
    </row>
    <row r="5" spans="1:11" ht="15.75" customHeight="1">
      <c r="A5" s="19" t="s">
        <v>30</v>
      </c>
      <c r="B5" s="12"/>
      <c r="C5" s="22" t="s">
        <v>32</v>
      </c>
      <c r="D5" s="20" t="s">
        <v>69</v>
      </c>
      <c r="E5" s="22" t="s">
        <v>33</v>
      </c>
      <c r="F5" s="24" t="s">
        <v>179</v>
      </c>
      <c r="G5" s="24" t="s">
        <v>60</v>
      </c>
      <c r="H5" s="24" t="s">
        <v>29</v>
      </c>
      <c r="I5" s="24" t="s">
        <v>184</v>
      </c>
      <c r="J5" s="52" t="s">
        <v>76</v>
      </c>
      <c r="K5" s="24" t="s">
        <v>183</v>
      </c>
    </row>
    <row r="6" spans="1:11" ht="15.75" customHeight="1">
      <c r="A6" s="25">
        <f>Main!$A$13</f>
        <v>8</v>
      </c>
      <c r="B6" s="17"/>
      <c r="C6" s="1" t="s">
        <v>49</v>
      </c>
      <c r="D6" s="26">
        <v>0.01</v>
      </c>
      <c r="E6" s="28">
        <f>IF($A$12="","",MAX(EXP('CB08 Coeffs'!$B5+'CB08 Coeffs'!$C5*$A$6+'CB08 Coeffs'!$D5*($A$6-5.5)*($A$6&gt;5.5)+'CB08 Coeffs'!$E5*($A$6-6.5)*($A$6&gt;6.5)+('CB08 Coeffs'!$F5+'CB08 Coeffs'!$G5*$A$6)*LN(SQRT($A$9^2+'CB08 Coeffs'!$H5^2))+'CB08 Coeffs'!$I5*$A$15*IF($A$21&lt;1,$A$21,1)+'CB08 Coeffs'!$J5*$A$18+'CB08 Coeffs'!$K5*IF($A$12=0,1,IF($A$21&lt;1,(MAX($A$9,SQRT($A$12^2+1))-$A$12)/MAX($A$9,SQRT($A$12^2+1)),($A$9-$A$12)/$A$9))*IF($A$6&lt;6,0,IF($A$6&gt;6.5,1,($A$6-6)/0.5))*IF($A$21&gt;20,0,(20-$A$21)/20)*IF($A$24&gt;70,(90-$A$24)/20,1)+('CB08 Coeffs'!$L5+'CB08 Coeffs'!$P5*'CB08 Coeffs'!$S5)*LN(MIN($A$27,1100)/'CB08 Coeffs'!$O5)*($A$27&gt;='CB08 Coeffs'!$O5)+('CB08 Coeffs'!$L5*LN($A$27/'CB08 Coeffs'!$O5)+'CB08 Coeffs'!$P5*(LN($A$35+'CB08 Coeffs'!$R5*($A$27/'CB08 Coeffs'!$O5)^'CB08 Coeffs'!$S5)-LN($A$35+'CB08 Coeffs'!$R5)))*($A$27&lt;'CB08 Coeffs'!$O5)+IF($A$30&lt;1,'CB08 Coeffs'!$M5*($A$30-1),IF($A$30&gt;3,'CB08 Coeffs'!$N5*'CB08 Coeffs'!$Q5*EXP(-0.75)*(1-EXP(-0.25*($A$30-3))),0))),E$28))</f>
        <v>0.13622053312776025</v>
      </c>
      <c r="F6" s="27">
        <f>IF($A$27&lt;'CB08 Coeffs'!O5,'CB08 Coeffs'!P5*$A$35*(($A$35+'CB08 Coeffs'!R5*($A$27/'CB08 Coeffs'!O5)^'CB08 Coeffs'!S5)^(-1)-($A$35+'CB08 Coeffs'!R5)^(-1)),0)</f>
        <v>-1.1045451209167405E-2</v>
      </c>
      <c r="G6" s="14">
        <f>SQRT(('CB08 Coeffs'!T5^2-'CB08 Coeffs'!V5^2)+'CB08 Coeffs'!V5^2+$F6^2*('CB08 Coeffs'!T$26^2-'CB08 Coeffs'!V$26^2)+2*$F6*'CB08 Coeffs'!X5*SQRT('CB08 Coeffs'!T5^2-'CB08 Coeffs'!V5^2)*SQRT('CB08 Coeffs'!T$26^2-'CB08 Coeffs'!V$26^2))</f>
        <v>0.47480697003457811</v>
      </c>
      <c r="H6" s="14">
        <f>'CB08 Coeffs'!U5</f>
        <v>0.219</v>
      </c>
      <c r="I6" s="14">
        <f>'CB08 Coeffs'!W5</f>
        <v>0.16600000000000001</v>
      </c>
      <c r="J6" s="14">
        <f>SQRT(G6^2+H6^2)</f>
        <v>0.52287920095698659</v>
      </c>
      <c r="K6" s="14">
        <f>SQRT(G6^2+H6^2+I6^2)</f>
        <v>0.54859699123620498</v>
      </c>
    </row>
    <row r="7" spans="1:11" ht="15.75" customHeight="1">
      <c r="A7" s="25"/>
      <c r="B7" s="29"/>
      <c r="C7" s="1"/>
      <c r="D7" s="26">
        <v>0.02</v>
      </c>
      <c r="E7" s="28">
        <f>IF($A$12="","",MAX(EXP('CB08 Coeffs'!$B6+'CB08 Coeffs'!$C6*$A$6+'CB08 Coeffs'!$D6*($A$6-5.5)*($A$6&gt;5.5)+'CB08 Coeffs'!$E6*($A$6-6.5)*($A$6&gt;6.5)+('CB08 Coeffs'!$F6+'CB08 Coeffs'!$G6*$A$6)*LN(SQRT($A$9^2+'CB08 Coeffs'!$H6^2))+'CB08 Coeffs'!$I6*$A$15*IF($A$21&lt;1,$A$21,1)+'CB08 Coeffs'!$J6*$A$18+'CB08 Coeffs'!$K6*IF($A$12=0,1,IF($A$21&lt;1,(MAX($A$9,SQRT($A$12^2+1))-$A$12)/MAX($A$9,SQRT($A$12^2+1)),($A$9-$A$12)/$A$9))*IF($A$6&lt;6,0,IF($A$6&gt;6.5,1,($A$6-6)/0.5))*IF($A$21&gt;20,0,(20-$A$21)/20)*IF($A$24&gt;70,(90-$A$24)/20,1)+('CB08 Coeffs'!$L6+'CB08 Coeffs'!$P6*'CB08 Coeffs'!$S6)*LN(MIN($A$27,1100)/'CB08 Coeffs'!$O6)*($A$27&gt;='CB08 Coeffs'!$O6)+('CB08 Coeffs'!$L6*LN($A$27/'CB08 Coeffs'!$O6)+'CB08 Coeffs'!$P6*(LN($A$35+'CB08 Coeffs'!$R6*($A$27/'CB08 Coeffs'!$O6)^'CB08 Coeffs'!$S6)-LN($A$35+'CB08 Coeffs'!$R6)))*($A$27&lt;'CB08 Coeffs'!$O6)+IF($A$30&lt;1,'CB08 Coeffs'!$M6*($A$30-1),IF($A$30&gt;3,'CB08 Coeffs'!$N6*'CB08 Coeffs'!$Q6*EXP(-0.75)*(1-EXP(-0.25*($A$30-3))),0))),E$28))</f>
        <v>0.13866690867479037</v>
      </c>
      <c r="F7" s="27">
        <f>IF($A$27&lt;'CB08 Coeffs'!O6,'CB08 Coeffs'!P6*$A$35*(($A$35+'CB08 Coeffs'!R6*($A$27/'CB08 Coeffs'!O6)^'CB08 Coeffs'!S6)^(-1)-($A$35+'CB08 Coeffs'!R6)^(-1)),0)</f>
        <v>-1.1352786698124005E-2</v>
      </c>
      <c r="G7" s="14">
        <f>SQRT(('CB08 Coeffs'!T6^2-'CB08 Coeffs'!V6^2)+'CB08 Coeffs'!V6^2+$F7^2*('CB08 Coeffs'!T$26^2-'CB08 Coeffs'!V$26^2)+2*$F7*'CB08 Coeffs'!X6*SQRT('CB08 Coeffs'!T6^2-'CB08 Coeffs'!V6^2)*SQRT('CB08 Coeffs'!T$26^2-'CB08 Coeffs'!V$26^2))</f>
        <v>0.47671267951263935</v>
      </c>
      <c r="H7" s="14">
        <f>'CB08 Coeffs'!U6</f>
        <v>0.219</v>
      </c>
      <c r="I7" s="14">
        <f>'CB08 Coeffs'!W6</f>
        <v>0.16600000000000001</v>
      </c>
      <c r="J7" s="14">
        <f t="shared" ref="J7:J26" si="0">SQRT(G7^2+H7^2)</f>
        <v>0.52461031138181069</v>
      </c>
      <c r="K7" s="14">
        <f t="shared" ref="K7:K26" si="1">SQRT(G7^2+H7^2+I7^2)</f>
        <v>0.55024719791028509</v>
      </c>
    </row>
    <row r="8" spans="1:11" ht="15.75" customHeight="1">
      <c r="A8" s="5" t="s">
        <v>77</v>
      </c>
      <c r="B8" s="12"/>
      <c r="C8" s="1"/>
      <c r="D8" s="26">
        <v>0.03</v>
      </c>
      <c r="E8" s="28">
        <f>IF($A$12="","",MAX(EXP('CB08 Coeffs'!$B7+'CB08 Coeffs'!$C7*$A$6+'CB08 Coeffs'!$D7*($A$6-5.5)*($A$6&gt;5.5)+'CB08 Coeffs'!$E7*($A$6-6.5)*($A$6&gt;6.5)+('CB08 Coeffs'!$F7+'CB08 Coeffs'!$G7*$A$6)*LN(SQRT($A$9^2+'CB08 Coeffs'!$H7^2))+'CB08 Coeffs'!$I7*$A$15*IF($A$21&lt;1,$A$21,1)+'CB08 Coeffs'!$J7*$A$18+'CB08 Coeffs'!$K7*IF($A$12=0,1,IF($A$21&lt;1,(MAX($A$9,SQRT($A$12^2+1))-$A$12)/MAX($A$9,SQRT($A$12^2+1)),($A$9-$A$12)/$A$9))*IF($A$6&lt;6,0,IF($A$6&gt;6.5,1,($A$6-6)/0.5))*IF($A$21&gt;20,0,(20-$A$21)/20)*IF($A$24&gt;70,(90-$A$24)/20,1)+('CB08 Coeffs'!$L7+'CB08 Coeffs'!$P7*'CB08 Coeffs'!$S7)*LN(MIN($A$27,1100)/'CB08 Coeffs'!$O7)*($A$27&gt;='CB08 Coeffs'!$O7)+('CB08 Coeffs'!$L7*LN($A$27/'CB08 Coeffs'!$O7)+'CB08 Coeffs'!$P7*(LN($A$35+'CB08 Coeffs'!$R7*($A$27/'CB08 Coeffs'!$O7)^'CB08 Coeffs'!$S7)-LN($A$35+'CB08 Coeffs'!$R7)))*($A$27&lt;'CB08 Coeffs'!$O7)+IF($A$30&lt;1,'CB08 Coeffs'!$M7*($A$30-1),IF($A$30&gt;3,'CB08 Coeffs'!$N7*'CB08 Coeffs'!$Q7*EXP(-0.75)*(1-EXP(-0.25*($A$30-3))),0))),E$28))</f>
        <v>0.14808562126987604</v>
      </c>
      <c r="F8" s="27">
        <f>IF($A$27&lt;'CB08 Coeffs'!O7,'CB08 Coeffs'!P7*$A$35*(($A$35+'CB08 Coeffs'!R7*($A$27/'CB08 Coeffs'!O7)^'CB08 Coeffs'!S7)^(-1)-($A$35+'CB08 Coeffs'!R7)^(-1)),0)</f>
        <v>-1.6719136906992678E-2</v>
      </c>
      <c r="G8" s="14">
        <f>SQRT(('CB08 Coeffs'!T7^2-'CB08 Coeffs'!V7^2)+'CB08 Coeffs'!V7^2+$F8^2*('CB08 Coeffs'!T$26^2-'CB08 Coeffs'!V$26^2)+2*$F8*'CB08 Coeffs'!X7*SQRT('CB08 Coeffs'!T7^2-'CB08 Coeffs'!V7^2)*SQRT('CB08 Coeffs'!T$26^2-'CB08 Coeffs'!V$26^2))</f>
        <v>0.48415632829496391</v>
      </c>
      <c r="H8" s="14">
        <f>'CB08 Coeffs'!U7</f>
        <v>0.23499999999999999</v>
      </c>
      <c r="I8" s="14">
        <f>'CB08 Coeffs'!W7</f>
        <v>0.16500000000000001</v>
      </c>
      <c r="J8" s="14">
        <f t="shared" si="0"/>
        <v>0.53817501821253366</v>
      </c>
      <c r="K8" s="14">
        <f t="shared" si="1"/>
        <v>0.5629008351637621</v>
      </c>
    </row>
    <row r="9" spans="1:11" ht="15.75" customHeight="1">
      <c r="A9" s="25">
        <f>Main!$A$16</f>
        <v>25</v>
      </c>
      <c r="B9" s="17"/>
      <c r="C9" s="1"/>
      <c r="D9" s="26">
        <v>0.05</v>
      </c>
      <c r="E9" s="28">
        <f>IF($A$12="","",MAX(EXP('CB08 Coeffs'!$B8+'CB08 Coeffs'!$C8*$A$6+'CB08 Coeffs'!$D8*($A$6-5.5)*($A$6&gt;5.5)+'CB08 Coeffs'!$E8*($A$6-6.5)*($A$6&gt;6.5)+('CB08 Coeffs'!$F8+'CB08 Coeffs'!$G8*$A$6)*LN(SQRT($A$9^2+'CB08 Coeffs'!$H8^2))+'CB08 Coeffs'!$I8*$A$15*IF($A$21&lt;1,$A$21,1)+'CB08 Coeffs'!$J8*$A$18+'CB08 Coeffs'!$K8*IF($A$12=0,1,IF($A$21&lt;1,(MAX($A$9,SQRT($A$12^2+1))-$A$12)/MAX($A$9,SQRT($A$12^2+1)),($A$9-$A$12)/$A$9))*IF($A$6&lt;6,0,IF($A$6&gt;6.5,1,($A$6-6)/0.5))*IF($A$21&gt;20,0,(20-$A$21)/20)*IF($A$24&gt;70,(90-$A$24)/20,1)+('CB08 Coeffs'!$L8+'CB08 Coeffs'!$P8*'CB08 Coeffs'!$S8)*LN(MIN($A$27,1100)/'CB08 Coeffs'!$O8)*($A$27&gt;='CB08 Coeffs'!$O8)+('CB08 Coeffs'!$L8*LN($A$27/'CB08 Coeffs'!$O8)+'CB08 Coeffs'!$P8*(LN($A$35+'CB08 Coeffs'!$R8*($A$27/'CB08 Coeffs'!$O8)^'CB08 Coeffs'!$S8)-LN($A$35+'CB08 Coeffs'!$R8)))*($A$27&lt;'CB08 Coeffs'!$O8)+IF($A$30&lt;1,'CB08 Coeffs'!$M8*($A$30-1),IF($A$30&gt;3,'CB08 Coeffs'!$N8*'CB08 Coeffs'!$Q8*EXP(-0.75)*(1-EXP(-0.25*($A$30-3))),0))),E$28))</f>
        <v>0.1780693753379162</v>
      </c>
      <c r="F9" s="27">
        <f>IF($A$27&lt;'CB08 Coeffs'!O8,'CB08 Coeffs'!P8*$A$35*(($A$35+'CB08 Coeffs'!R8*($A$27/'CB08 Coeffs'!O8)^'CB08 Coeffs'!S8)^(-1)-($A$35+'CB08 Coeffs'!R8)^(-1)),0)</f>
        <v>-3.5135990414981576E-2</v>
      </c>
      <c r="G9" s="14">
        <f>SQRT(('CB08 Coeffs'!T8^2-'CB08 Coeffs'!V8^2)+'CB08 Coeffs'!V8^2+$F9^2*('CB08 Coeffs'!T$26^2-'CB08 Coeffs'!V$26^2)+2*$F9*'CB08 Coeffs'!X8*SQRT('CB08 Coeffs'!T8^2-'CB08 Coeffs'!V8^2)*SQRT('CB08 Coeffs'!T$26^2-'CB08 Coeffs'!V$26^2))</f>
        <v>0.49988466056044106</v>
      </c>
      <c r="H9" s="14">
        <f>'CB08 Coeffs'!U8</f>
        <v>0.25800000000000001</v>
      </c>
      <c r="I9" s="14">
        <f>'CB08 Coeffs'!W8</f>
        <v>0.16200000000000001</v>
      </c>
      <c r="J9" s="14">
        <f t="shared" si="0"/>
        <v>0.56253770883704091</v>
      </c>
      <c r="K9" s="14">
        <f t="shared" si="1"/>
        <v>0.5853995847825888</v>
      </c>
    </row>
    <row r="10" spans="1:11" ht="15.75" customHeight="1">
      <c r="A10" s="25"/>
      <c r="B10" s="29"/>
      <c r="C10" s="1"/>
      <c r="D10" s="26">
        <v>7.4999999999999997E-2</v>
      </c>
      <c r="E10" s="28">
        <f>IF($A$12="","",MAX(EXP('CB08 Coeffs'!$B9+'CB08 Coeffs'!$C9*$A$6+'CB08 Coeffs'!$D9*($A$6-5.5)*($A$6&gt;5.5)+'CB08 Coeffs'!$E9*($A$6-6.5)*($A$6&gt;6.5)+('CB08 Coeffs'!$F9+'CB08 Coeffs'!$G9*$A$6)*LN(SQRT($A$9^2+'CB08 Coeffs'!$H9^2))+'CB08 Coeffs'!$I9*$A$15*IF($A$21&lt;1,$A$21,1)+'CB08 Coeffs'!$J9*$A$18+'CB08 Coeffs'!$K9*IF($A$12=0,1,IF($A$21&lt;1,(MAX($A$9,SQRT($A$12^2+1))-$A$12)/MAX($A$9,SQRT($A$12^2+1)),($A$9-$A$12)/$A$9))*IF($A$6&lt;6,0,IF($A$6&gt;6.5,1,($A$6-6)/0.5))*IF($A$21&gt;20,0,(20-$A$21)/20)*IF($A$24&gt;70,(90-$A$24)/20,1)+('CB08 Coeffs'!$L9+'CB08 Coeffs'!$P9*'CB08 Coeffs'!$S9)*LN(MIN($A$27,1100)/'CB08 Coeffs'!$O9)*($A$27&gt;='CB08 Coeffs'!$O9)+('CB08 Coeffs'!$L9*LN($A$27/'CB08 Coeffs'!$O9)+'CB08 Coeffs'!$P9*(LN($A$35+'CB08 Coeffs'!$R9*($A$27/'CB08 Coeffs'!$O9)^'CB08 Coeffs'!$S9)-LN($A$35+'CB08 Coeffs'!$R9)))*($A$27&lt;'CB08 Coeffs'!$O9)+IF($A$30&lt;1,'CB08 Coeffs'!$M9*($A$30-1),IF($A$30&gt;3,'CB08 Coeffs'!$N9*'CB08 Coeffs'!$Q9*EXP(-0.75)*(1-EXP(-0.25*($A$30-3))),0))),E$28))</f>
        <v>0.22395314047572554</v>
      </c>
      <c r="F10" s="27">
        <f>IF($A$27&lt;'CB08 Coeffs'!O9,'CB08 Coeffs'!P9*$A$35*(($A$35+'CB08 Coeffs'!R9*($A$27/'CB08 Coeffs'!O9)^'CB08 Coeffs'!S9)^(-1)-($A$35+'CB08 Coeffs'!R9)^(-1)),0)</f>
        <v>-4.257469826191175E-2</v>
      </c>
      <c r="G10" s="14">
        <f>SQRT(('CB08 Coeffs'!T9^2-'CB08 Coeffs'!V9^2)+'CB08 Coeffs'!V9^2+$F10^2*('CB08 Coeffs'!T$26^2-'CB08 Coeffs'!V$26^2)+2*$F10*'CB08 Coeffs'!X9*SQRT('CB08 Coeffs'!T9^2-'CB08 Coeffs'!V9^2)*SQRT('CB08 Coeffs'!T$26^2-'CB08 Coeffs'!V$26^2))</f>
        <v>0.50817535810570524</v>
      </c>
      <c r="H10" s="14">
        <f>'CB08 Coeffs'!U9</f>
        <v>0.29199999999999998</v>
      </c>
      <c r="I10" s="14">
        <f>'CB08 Coeffs'!W9</f>
        <v>0.158</v>
      </c>
      <c r="J10" s="14">
        <f t="shared" si="0"/>
        <v>0.58609401514250403</v>
      </c>
      <c r="K10" s="14">
        <f t="shared" si="1"/>
        <v>0.6070174582216411</v>
      </c>
    </row>
    <row r="11" spans="1:11" ht="15.75" customHeight="1">
      <c r="A11" s="5" t="s">
        <v>78</v>
      </c>
      <c r="B11" s="12"/>
      <c r="C11" s="1"/>
      <c r="D11" s="30">
        <v>0.1</v>
      </c>
      <c r="E11" s="28">
        <f>IF($A$12="","",MAX(EXP('CB08 Coeffs'!$B10+'CB08 Coeffs'!$C10*$A$6+'CB08 Coeffs'!$D10*($A$6-5.5)*($A$6&gt;5.5)+'CB08 Coeffs'!$E10*($A$6-6.5)*($A$6&gt;6.5)+('CB08 Coeffs'!$F10+'CB08 Coeffs'!$G10*$A$6)*LN(SQRT($A$9^2+'CB08 Coeffs'!$H10^2))+'CB08 Coeffs'!$I10*$A$15*IF($A$21&lt;1,$A$21,1)+'CB08 Coeffs'!$J10*$A$18+'CB08 Coeffs'!$K10*IF($A$12=0,1,IF($A$21&lt;1,(MAX($A$9,SQRT($A$12^2+1))-$A$12)/MAX($A$9,SQRT($A$12^2+1)),($A$9-$A$12)/$A$9))*IF($A$6&lt;6,0,IF($A$6&gt;6.5,1,($A$6-6)/0.5))*IF($A$21&gt;20,0,(20-$A$21)/20)*IF($A$24&gt;70,(90-$A$24)/20,1)+('CB08 Coeffs'!$L10+'CB08 Coeffs'!$P10*'CB08 Coeffs'!$S10)*LN(MIN($A$27,1100)/'CB08 Coeffs'!$O10)*($A$27&gt;='CB08 Coeffs'!$O10)+('CB08 Coeffs'!$L10*LN($A$27/'CB08 Coeffs'!$O10)+'CB08 Coeffs'!$P10*(LN($A$35+'CB08 Coeffs'!$R10*($A$27/'CB08 Coeffs'!$O10)^'CB08 Coeffs'!$S10)-LN($A$35+'CB08 Coeffs'!$R10)))*($A$27&lt;'CB08 Coeffs'!$O10)+IF($A$30&lt;1,'CB08 Coeffs'!$M10*($A$30-1),IF($A$30&gt;3,'CB08 Coeffs'!$N10*'CB08 Coeffs'!$Q10*EXP(-0.75)*(1-EXP(-0.25*($A$30-3))),0))),E$28))</f>
        <v>0.26818419625341183</v>
      </c>
      <c r="F11" s="27">
        <f>IF($A$27&lt;'CB08 Coeffs'!O10,'CB08 Coeffs'!P10*$A$35*(($A$35+'CB08 Coeffs'!R10*($A$27/'CB08 Coeffs'!O10)^'CB08 Coeffs'!S10)^(-1)-($A$35+'CB08 Coeffs'!R10)^(-1)),0)</f>
        <v>-3.9221443611132514E-2</v>
      </c>
      <c r="G11" s="14">
        <f>SQRT(('CB08 Coeffs'!T10^2-'CB08 Coeffs'!V10^2)+'CB08 Coeffs'!V10^2+$F11^2*('CB08 Coeffs'!T$26^2-'CB08 Coeffs'!V$26^2)+2*$F11*'CB08 Coeffs'!X10*SQRT('CB08 Coeffs'!T10^2-'CB08 Coeffs'!V10^2)*SQRT('CB08 Coeffs'!T$26^2-'CB08 Coeffs'!V$26^2))</f>
        <v>0.52027770967431297</v>
      </c>
      <c r="H11" s="14">
        <f>'CB08 Coeffs'!U10</f>
        <v>0.28599999999999998</v>
      </c>
      <c r="I11" s="14">
        <f>'CB08 Coeffs'!W10</f>
        <v>0.17</v>
      </c>
      <c r="J11" s="14">
        <f t="shared" si="0"/>
        <v>0.59370438366576728</v>
      </c>
      <c r="K11" s="14">
        <f t="shared" si="1"/>
        <v>0.61756367702768</v>
      </c>
    </row>
    <row r="12" spans="1:11" ht="15.75" customHeight="1">
      <c r="A12" s="25">
        <f>Main!$A$19</f>
        <v>25</v>
      </c>
      <c r="B12" s="17"/>
      <c r="C12" s="1"/>
      <c r="D12" s="30">
        <v>0.15</v>
      </c>
      <c r="E12" s="28">
        <f>IF($A$12="","",MAX(EXP('CB08 Coeffs'!$B11+'CB08 Coeffs'!$C11*$A$6+'CB08 Coeffs'!$D11*($A$6-5.5)*($A$6&gt;5.5)+'CB08 Coeffs'!$E11*($A$6-6.5)*($A$6&gt;6.5)+('CB08 Coeffs'!$F11+'CB08 Coeffs'!$G11*$A$6)*LN(SQRT($A$9^2+'CB08 Coeffs'!$H11^2))+'CB08 Coeffs'!$I11*$A$15*IF($A$21&lt;1,$A$21,1)+'CB08 Coeffs'!$J11*$A$18+'CB08 Coeffs'!$K11*IF($A$12=0,1,IF($A$21&lt;1,(MAX($A$9,SQRT($A$12^2+1))-$A$12)/MAX($A$9,SQRT($A$12^2+1)),($A$9-$A$12)/$A$9))*IF($A$6&lt;6,0,IF($A$6&gt;6.5,1,($A$6-6)/0.5))*IF($A$21&gt;20,0,(20-$A$21)/20)*IF($A$24&gt;70,(90-$A$24)/20,1)+('CB08 Coeffs'!$L11+'CB08 Coeffs'!$P11*'CB08 Coeffs'!$S11)*LN(MIN($A$27,1100)/'CB08 Coeffs'!$O11)*($A$27&gt;='CB08 Coeffs'!$O11)+('CB08 Coeffs'!$L11*LN($A$27/'CB08 Coeffs'!$O11)+'CB08 Coeffs'!$P11*(LN($A$35+'CB08 Coeffs'!$R11*($A$27/'CB08 Coeffs'!$O11)^'CB08 Coeffs'!$S11)-LN($A$35+'CB08 Coeffs'!$R11)))*($A$27&lt;'CB08 Coeffs'!$O11)+IF($A$30&lt;1,'CB08 Coeffs'!$M11*($A$30-1),IF($A$30&gt;3,'CB08 Coeffs'!$N11*'CB08 Coeffs'!$Q11*EXP(-0.75)*(1-EXP(-0.25*($A$30-3))),0))),E$28))</f>
        <v>0.32957453539230142</v>
      </c>
      <c r="F12" s="27">
        <f>IF($A$27&lt;'CB08 Coeffs'!O11,'CB08 Coeffs'!P11*$A$35*(($A$35+'CB08 Coeffs'!R11*($A$27/'CB08 Coeffs'!O11)^'CB08 Coeffs'!S11)^(-1)-($A$35+'CB08 Coeffs'!R11)^(-1)),0)</f>
        <v>-2.0213716301511992E-2</v>
      </c>
      <c r="G12" s="14">
        <f>SQRT(('CB08 Coeffs'!T11^2-'CB08 Coeffs'!V11^2)+'CB08 Coeffs'!V11^2+$F12^2*('CB08 Coeffs'!T$26^2-'CB08 Coeffs'!V$26^2)+2*$F12*'CB08 Coeffs'!X11*SQRT('CB08 Coeffs'!T11^2-'CB08 Coeffs'!V11^2)*SQRT('CB08 Coeffs'!T$26^2-'CB08 Coeffs'!V$26^2))</f>
        <v>0.52649591883921154</v>
      </c>
      <c r="H12" s="14">
        <f>'CB08 Coeffs'!U11</f>
        <v>0.28000000000000003</v>
      </c>
      <c r="I12" s="14">
        <f>'CB08 Coeffs'!W11</f>
        <v>0.18</v>
      </c>
      <c r="J12" s="14">
        <f t="shared" si="0"/>
        <v>0.59632034390447031</v>
      </c>
      <c r="K12" s="14">
        <f t="shared" si="1"/>
        <v>0.62289481660577783</v>
      </c>
    </row>
    <row r="13" spans="1:11" ht="15.75" customHeight="1">
      <c r="A13" s="16"/>
      <c r="B13" s="17"/>
      <c r="C13" s="1"/>
      <c r="D13" s="30">
        <v>0.2</v>
      </c>
      <c r="E13" s="28">
        <f>IF($A$12="","",MAX(EXP('CB08 Coeffs'!$B12+'CB08 Coeffs'!$C12*$A$6+'CB08 Coeffs'!$D12*($A$6-5.5)*($A$6&gt;5.5)+'CB08 Coeffs'!$E12*($A$6-6.5)*($A$6&gt;6.5)+('CB08 Coeffs'!$F12+'CB08 Coeffs'!$G12*$A$6)*LN(SQRT($A$9^2+'CB08 Coeffs'!$H12^2))+'CB08 Coeffs'!$I12*$A$15*IF($A$21&lt;1,$A$21,1)+'CB08 Coeffs'!$J12*$A$18+'CB08 Coeffs'!$K12*IF($A$12=0,1,IF($A$21&lt;1,(MAX($A$9,SQRT($A$12^2+1))-$A$12)/MAX($A$9,SQRT($A$12^2+1)),($A$9-$A$12)/$A$9))*IF($A$6&lt;6,0,IF($A$6&gt;6.5,1,($A$6-6)/0.5))*IF($A$21&gt;20,0,(20-$A$21)/20)*IF($A$24&gt;70,(90-$A$24)/20,1)+('CB08 Coeffs'!$L12+'CB08 Coeffs'!$P12*'CB08 Coeffs'!$S12)*LN(MIN($A$27,1100)/'CB08 Coeffs'!$O12)*($A$27&gt;='CB08 Coeffs'!$O12)+('CB08 Coeffs'!$L12*LN($A$27/'CB08 Coeffs'!$O12)+'CB08 Coeffs'!$P12*(LN($A$35+'CB08 Coeffs'!$R12*($A$27/'CB08 Coeffs'!$O12)^'CB08 Coeffs'!$S12)-LN($A$35+'CB08 Coeffs'!$R12)))*($A$27&lt;'CB08 Coeffs'!$O12)+IF($A$30&lt;1,'CB08 Coeffs'!$M12*($A$30-1),IF($A$30&gt;3,'CB08 Coeffs'!$N12*'CB08 Coeffs'!$Q12*EXP(-0.75)*(1-EXP(-0.25*($A$30-3))),0))),E$28))</f>
        <v>0.35458579003206436</v>
      </c>
      <c r="F13" s="27">
        <f>IF($A$27&lt;'CB08 Coeffs'!O12,'CB08 Coeffs'!P12*$A$35*(($A$35+'CB08 Coeffs'!R12*($A$27/'CB08 Coeffs'!O12)^'CB08 Coeffs'!S12)^(-1)-($A$35+'CB08 Coeffs'!R12)^(-1)),0)</f>
        <v>0</v>
      </c>
      <c r="G13" s="14">
        <f>SQRT(('CB08 Coeffs'!T12^2-'CB08 Coeffs'!V12^2)+'CB08 Coeffs'!V12^2+$F13^2*('CB08 Coeffs'!T$26^2-'CB08 Coeffs'!V$26^2)+2*$F13*'CB08 Coeffs'!X12*SQRT('CB08 Coeffs'!T12^2-'CB08 Coeffs'!V12^2)*SQRT('CB08 Coeffs'!T$26^2-'CB08 Coeffs'!V$26^2))</f>
        <v>0.53400000000000003</v>
      </c>
      <c r="H13" s="14">
        <f>'CB08 Coeffs'!U12</f>
        <v>0.249</v>
      </c>
      <c r="I13" s="14">
        <f>'CB08 Coeffs'!W12</f>
        <v>0.186</v>
      </c>
      <c r="J13" s="14">
        <f t="shared" si="0"/>
        <v>0.58920030549890257</v>
      </c>
      <c r="K13" s="14">
        <f t="shared" si="1"/>
        <v>0.6178616349960564</v>
      </c>
    </row>
    <row r="14" spans="1:11" ht="15.75" customHeight="1">
      <c r="A14" s="5" t="s">
        <v>80</v>
      </c>
      <c r="B14" s="17"/>
      <c r="C14" s="1"/>
      <c r="D14" s="30">
        <v>0.25</v>
      </c>
      <c r="E14" s="28">
        <f>IF($A$12="","",MAX(EXP('CB08 Coeffs'!$B13+'CB08 Coeffs'!$C13*$A$6+'CB08 Coeffs'!$D13*($A$6-5.5)*($A$6&gt;5.5)+'CB08 Coeffs'!$E13*($A$6-6.5)*($A$6&gt;6.5)+('CB08 Coeffs'!$F13+'CB08 Coeffs'!$G13*$A$6)*LN(SQRT($A$9^2+'CB08 Coeffs'!$H13^2))+'CB08 Coeffs'!$I13*$A$15*IF($A$21&lt;1,$A$21,1)+'CB08 Coeffs'!$J13*$A$18+'CB08 Coeffs'!$K13*IF($A$12=0,1,IF($A$21&lt;1,(MAX($A$9,SQRT($A$12^2+1))-$A$12)/MAX($A$9,SQRT($A$12^2+1)),($A$9-$A$12)/$A$9))*IF($A$6&lt;6,0,IF($A$6&gt;6.5,1,($A$6-6)/0.5))*IF($A$21&gt;20,0,(20-$A$21)/20)*IF($A$24&gt;70,(90-$A$24)/20,1)+('CB08 Coeffs'!$L13+'CB08 Coeffs'!$P13*'CB08 Coeffs'!$S13)*LN(MIN($A$27,1100)/'CB08 Coeffs'!$O13)*($A$27&gt;='CB08 Coeffs'!$O13)+('CB08 Coeffs'!$L13*LN($A$27/'CB08 Coeffs'!$O13)+'CB08 Coeffs'!$P13*(LN($A$35+'CB08 Coeffs'!$R13*($A$27/'CB08 Coeffs'!$O13)^'CB08 Coeffs'!$S13)-LN($A$35+'CB08 Coeffs'!$R13)))*($A$27&lt;'CB08 Coeffs'!$O13)+IF($A$30&lt;1,'CB08 Coeffs'!$M13*($A$30-1),IF($A$30&gt;3,'CB08 Coeffs'!$N13*'CB08 Coeffs'!$Q13*EXP(-0.75)*(1-EXP(-0.25*($A$30-3))),0))),E$28))</f>
        <v>0.32574707747633125</v>
      </c>
      <c r="F14" s="27">
        <f>IF($A$27&lt;'CB08 Coeffs'!O13,'CB08 Coeffs'!P13*$A$35*(($A$35+'CB08 Coeffs'!R13*($A$27/'CB08 Coeffs'!O13)^'CB08 Coeffs'!S13)^(-1)-($A$35+'CB08 Coeffs'!R13)^(-1)),0)</f>
        <v>0</v>
      </c>
      <c r="G14" s="14">
        <f>SQRT(('CB08 Coeffs'!T13^2-'CB08 Coeffs'!V13^2)+'CB08 Coeffs'!V13^2+$F14^2*('CB08 Coeffs'!T$26^2-'CB08 Coeffs'!V$26^2)+2*$F14*'CB08 Coeffs'!X13*SQRT('CB08 Coeffs'!T13^2-'CB08 Coeffs'!V13^2)*SQRT('CB08 Coeffs'!T$26^2-'CB08 Coeffs'!V$26^2))</f>
        <v>0.53400000000000003</v>
      </c>
      <c r="H14" s="14">
        <f>'CB08 Coeffs'!U13</f>
        <v>0.24</v>
      </c>
      <c r="I14" s="14">
        <f>'CB08 Coeffs'!W13</f>
        <v>0.191</v>
      </c>
      <c r="J14" s="14">
        <f t="shared" si="0"/>
        <v>0.58545367024214645</v>
      </c>
      <c r="K14" s="14">
        <f t="shared" si="1"/>
        <v>0.61582221460418263</v>
      </c>
    </row>
    <row r="15" spans="1:11" ht="15.75" customHeight="1">
      <c r="A15" s="17">
        <f>Main!$A$28</f>
        <v>0</v>
      </c>
      <c r="B15" s="17"/>
      <c r="C15" s="1"/>
      <c r="D15" s="30">
        <v>0.3</v>
      </c>
      <c r="E15" s="28">
        <f>IF($A$12="","",EXP('CB08 Coeffs'!$B14+'CB08 Coeffs'!$C14*$A$6+'CB08 Coeffs'!$D14*($A$6-5.5)*($A$6&gt;5.5)+'CB08 Coeffs'!$E14*($A$6-6.5)*($A$6&gt;6.5)+('CB08 Coeffs'!$F14+'CB08 Coeffs'!$G14*$A$6)*LN(SQRT($A$9^2+'CB08 Coeffs'!$H14^2))+'CB08 Coeffs'!$I14*$A$15*IF($A$21&lt;1,$A$21,1)+'CB08 Coeffs'!$J14*$A$18+'CB08 Coeffs'!$K14*IF($A$12=0,1,IF($A$21&lt;1,(MAX($A$9,SQRT($A$12^2+1))-$A$12)/MAX($A$9,SQRT($A$12^2+1)),($A$9-$A$12)/$A$9))*IF($A$6&lt;6,0,IF($A$6&gt;6.5,1,($A$6-6)/0.5))*IF($A$21&gt;20,0,(20-$A$21)/20)*IF($A$24&gt;70,(90-$A$24)/20,1)+('CB08 Coeffs'!$L14+'CB08 Coeffs'!$P14*'CB08 Coeffs'!$S14)*LN(MIN($A$27,1100)/'CB08 Coeffs'!$O14)*($A$27&gt;='CB08 Coeffs'!$O14)+('CB08 Coeffs'!$L14*LN($A$27/'CB08 Coeffs'!$O14)+'CB08 Coeffs'!$P14*(LN($A$35+'CB08 Coeffs'!$R14*($A$27/'CB08 Coeffs'!$O14)^'CB08 Coeffs'!$S14)-LN($A$35+'CB08 Coeffs'!$R14)))*($A$27&lt;'CB08 Coeffs'!$O14)+IF($A$30&lt;1,'CB08 Coeffs'!$M14*($A$30-1),IF($A$30&gt;3,'CB08 Coeffs'!$N14*'CB08 Coeffs'!$Q14*EXP(-0.75)*(1-EXP(-0.25*($A$30-3))),0))))</f>
        <v>0.29949340917602058</v>
      </c>
      <c r="F15" s="27">
        <f>IF($A$27&lt;'CB08 Coeffs'!O14,'CB08 Coeffs'!P14*$A$35*(($A$35+'CB08 Coeffs'!R14*($A$27/'CB08 Coeffs'!O14)^'CB08 Coeffs'!S14)^(-1)-($A$35+'CB08 Coeffs'!R14)^(-1)),0)</f>
        <v>0</v>
      </c>
      <c r="G15" s="14">
        <f>SQRT(('CB08 Coeffs'!T14^2-'CB08 Coeffs'!V14^2)+'CB08 Coeffs'!V14^2+$F15^2*('CB08 Coeffs'!T$26^2-'CB08 Coeffs'!V$26^2)+2*$F15*'CB08 Coeffs'!X14*SQRT('CB08 Coeffs'!T14^2-'CB08 Coeffs'!V14^2)*SQRT('CB08 Coeffs'!T$26^2-'CB08 Coeffs'!V$26^2))</f>
        <v>0.54400000000000004</v>
      </c>
      <c r="H15" s="14">
        <f>'CB08 Coeffs'!U14</f>
        <v>0.215</v>
      </c>
      <c r="I15" s="14">
        <f>'CB08 Coeffs'!W14</f>
        <v>0.19800000000000001</v>
      </c>
      <c r="J15" s="14">
        <f t="shared" si="0"/>
        <v>0.58494529658763827</v>
      </c>
      <c r="K15" s="14">
        <f t="shared" si="1"/>
        <v>0.61754756901796648</v>
      </c>
    </row>
    <row r="16" spans="1:11" ht="15.75" customHeight="1">
      <c r="A16" s="17"/>
      <c r="B16" s="16"/>
      <c r="C16" s="1"/>
      <c r="D16" s="30">
        <v>0.4</v>
      </c>
      <c r="E16" s="28">
        <f>IF($A$12="","",EXP('CB08 Coeffs'!$B15+'CB08 Coeffs'!$C15*$A$6+'CB08 Coeffs'!$D15*($A$6-5.5)*($A$6&gt;5.5)+'CB08 Coeffs'!$E15*($A$6-6.5)*($A$6&gt;6.5)+('CB08 Coeffs'!$F15+'CB08 Coeffs'!$G15*$A$6)*LN(SQRT($A$9^2+'CB08 Coeffs'!$H15^2))+'CB08 Coeffs'!$I15*$A$15*IF($A$21&lt;1,$A$21,1)+'CB08 Coeffs'!$J15*$A$18+'CB08 Coeffs'!$K15*IF($A$12=0,1,IF($A$21&lt;1,(MAX($A$9,SQRT($A$12^2+1))-$A$12)/MAX($A$9,SQRT($A$12^2+1)),($A$9-$A$12)/$A$9))*IF($A$6&lt;6,0,IF($A$6&gt;6.5,1,($A$6-6)/0.5))*IF($A$21&gt;20,0,(20-$A$21)/20)*IF($A$24&gt;70,(90-$A$24)/20,1)+('CB08 Coeffs'!$L15+'CB08 Coeffs'!$P15*'CB08 Coeffs'!$S15)*LN(MIN($A$27,1100)/'CB08 Coeffs'!$O15)*($A$27&gt;='CB08 Coeffs'!$O15)+('CB08 Coeffs'!$L15*LN($A$27/'CB08 Coeffs'!$O15)+'CB08 Coeffs'!$P15*(LN($A$35+'CB08 Coeffs'!$R15*($A$27/'CB08 Coeffs'!$O15)^'CB08 Coeffs'!$S15)-LN($A$35+'CB08 Coeffs'!$R15)))*($A$27&lt;'CB08 Coeffs'!$O15)+IF($A$30&lt;1,'CB08 Coeffs'!$M15*($A$30-1),IF($A$30&gt;3,'CB08 Coeffs'!$N15*'CB08 Coeffs'!$Q15*EXP(-0.75)*(1-EXP(-0.25*($A$30-3))),0))))</f>
        <v>0.25983241396662038</v>
      </c>
      <c r="F16" s="27">
        <f>IF($A$27&lt;'CB08 Coeffs'!O15,'CB08 Coeffs'!P15*$A$35*(($A$35+'CB08 Coeffs'!R15*($A$27/'CB08 Coeffs'!O15)^'CB08 Coeffs'!S15)^(-1)-($A$35+'CB08 Coeffs'!R15)^(-1)),0)</f>
        <v>0</v>
      </c>
      <c r="G16" s="14">
        <f>SQRT(('CB08 Coeffs'!T15^2-'CB08 Coeffs'!V15^2)+'CB08 Coeffs'!V15^2+$F16^2*('CB08 Coeffs'!T$26^2-'CB08 Coeffs'!V$26^2)+2*$F16*'CB08 Coeffs'!X15*SQRT('CB08 Coeffs'!T15^2-'CB08 Coeffs'!V15^2)*SQRT('CB08 Coeffs'!T$26^2-'CB08 Coeffs'!V$26^2))</f>
        <v>0.54100000000000004</v>
      </c>
      <c r="H16" s="14">
        <f>'CB08 Coeffs'!U15</f>
        <v>0.217</v>
      </c>
      <c r="I16" s="14">
        <f>'CB08 Coeffs'!W15</f>
        <v>0.20599999999999999</v>
      </c>
      <c r="J16" s="14">
        <f t="shared" si="0"/>
        <v>0.58289793274637713</v>
      </c>
      <c r="K16" s="14">
        <f t="shared" si="1"/>
        <v>0.61822811323976523</v>
      </c>
    </row>
    <row r="17" spans="1:11" ht="15.75" customHeight="1">
      <c r="A17" s="5" t="s">
        <v>81</v>
      </c>
      <c r="B17" s="16"/>
      <c r="C17" s="1"/>
      <c r="D17" s="30">
        <v>0.5</v>
      </c>
      <c r="E17" s="28">
        <f>IF($A$12="","",EXP('CB08 Coeffs'!$B16+'CB08 Coeffs'!$C16*$A$6+'CB08 Coeffs'!$D16*($A$6-5.5)*($A$6&gt;5.5)+'CB08 Coeffs'!$E16*($A$6-6.5)*($A$6&gt;6.5)+('CB08 Coeffs'!$F16+'CB08 Coeffs'!$G16*$A$6)*LN(SQRT($A$9^2+'CB08 Coeffs'!$H16^2))+'CB08 Coeffs'!$I16*$A$15*IF($A$21&lt;1,$A$21,1)+'CB08 Coeffs'!$J16*$A$18+'CB08 Coeffs'!$K16*IF($A$12=0,1,IF($A$21&lt;1,(MAX($A$9,SQRT($A$12^2+1))-$A$12)/MAX($A$9,SQRT($A$12^2+1)),($A$9-$A$12)/$A$9))*IF($A$6&lt;6,0,IF($A$6&gt;6.5,1,($A$6-6)/0.5))*IF($A$21&gt;20,0,(20-$A$21)/20)*IF($A$24&gt;70,(90-$A$24)/20,1)+('CB08 Coeffs'!$L16+'CB08 Coeffs'!$P16*'CB08 Coeffs'!$S16)*LN(MIN($A$27,1100)/'CB08 Coeffs'!$O16)*($A$27&gt;='CB08 Coeffs'!$O16)+('CB08 Coeffs'!$L16*LN($A$27/'CB08 Coeffs'!$O16)+'CB08 Coeffs'!$P16*(LN($A$35+'CB08 Coeffs'!$R16*($A$27/'CB08 Coeffs'!$O16)^'CB08 Coeffs'!$S16)-LN($A$35+'CB08 Coeffs'!$R16)))*($A$27&lt;'CB08 Coeffs'!$O16)+IF($A$30&lt;1,'CB08 Coeffs'!$M16*($A$30-1),IF($A$30&gt;3,'CB08 Coeffs'!$N16*'CB08 Coeffs'!$Q16*EXP(-0.75)*(1-EXP(-0.25*($A$30-3))),0))))</f>
        <v>0.24381182107880175</v>
      </c>
      <c r="F17" s="27">
        <f>IF($A$27&lt;'CB08 Coeffs'!O16,'CB08 Coeffs'!P16*$A$35*(($A$35+'CB08 Coeffs'!R16*($A$27/'CB08 Coeffs'!O16)^'CB08 Coeffs'!S16)^(-1)-($A$35+'CB08 Coeffs'!R16)^(-1)),0)</f>
        <v>0</v>
      </c>
      <c r="G17" s="14">
        <f>SQRT(('CB08 Coeffs'!T16^2-'CB08 Coeffs'!V16^2)+'CB08 Coeffs'!V16^2+$F17^2*('CB08 Coeffs'!T$26^2-'CB08 Coeffs'!V$26^2)+2*$F17*'CB08 Coeffs'!X16*SQRT('CB08 Coeffs'!T16^2-'CB08 Coeffs'!V16^2)*SQRT('CB08 Coeffs'!T$26^2-'CB08 Coeffs'!V$26^2))</f>
        <v>0.55000000000000004</v>
      </c>
      <c r="H17" s="14">
        <f>'CB08 Coeffs'!U16</f>
        <v>0.214</v>
      </c>
      <c r="I17" s="14">
        <f>'CB08 Coeffs'!W16</f>
        <v>0.20799999999999999</v>
      </c>
      <c r="J17" s="14">
        <f t="shared" si="0"/>
        <v>0.59016607832033185</v>
      </c>
      <c r="K17" s="14">
        <f t="shared" si="1"/>
        <v>0.62574755293169149</v>
      </c>
    </row>
    <row r="18" spans="1:11" ht="15.75" customHeight="1">
      <c r="A18" s="17">
        <f>Main!$A$31</f>
        <v>1</v>
      </c>
      <c r="B18" s="29"/>
      <c r="C18" s="1"/>
      <c r="D18" s="30">
        <v>0.75</v>
      </c>
      <c r="E18" s="28">
        <f>IF($A$12="","",EXP('CB08 Coeffs'!$B17+'CB08 Coeffs'!$C17*$A$6+'CB08 Coeffs'!$D17*($A$6-5.5)*($A$6&gt;5.5)+'CB08 Coeffs'!$E17*($A$6-6.5)*($A$6&gt;6.5)+('CB08 Coeffs'!$F17+'CB08 Coeffs'!$G17*$A$6)*LN(SQRT($A$9^2+'CB08 Coeffs'!$H17^2))+'CB08 Coeffs'!$I17*$A$15*IF($A$21&lt;1,$A$21,1)+'CB08 Coeffs'!$J17*$A$18+'CB08 Coeffs'!$K17*IF($A$12=0,1,IF($A$21&lt;1,(MAX($A$9,SQRT($A$12^2+1))-$A$12)/MAX($A$9,SQRT($A$12^2+1)),($A$9-$A$12)/$A$9))*IF($A$6&lt;6,0,IF($A$6&gt;6.5,1,($A$6-6)/0.5))*IF($A$21&gt;20,0,(20-$A$21)/20)*IF($A$24&gt;70,(90-$A$24)/20,1)+('CB08 Coeffs'!$L17+'CB08 Coeffs'!$P17*'CB08 Coeffs'!$S17)*LN(MIN($A$27,1100)/'CB08 Coeffs'!$O17)*($A$27&gt;='CB08 Coeffs'!$O17)+('CB08 Coeffs'!$L17*LN($A$27/'CB08 Coeffs'!$O17)+'CB08 Coeffs'!$P17*(LN($A$35+'CB08 Coeffs'!$R17*($A$27/'CB08 Coeffs'!$O17)^'CB08 Coeffs'!$S17)-LN($A$35+'CB08 Coeffs'!$R17)))*($A$27&lt;'CB08 Coeffs'!$O17)+IF($A$30&lt;1,'CB08 Coeffs'!$M17*($A$30-1),IF($A$30&gt;3,'CB08 Coeffs'!$N17*'CB08 Coeffs'!$Q17*EXP(-0.75)*(1-EXP(-0.25*($A$30-3))),0))))</f>
        <v>0.19205079265055833</v>
      </c>
      <c r="F18" s="27">
        <f>IF($A$27&lt;'CB08 Coeffs'!O17,'CB08 Coeffs'!P17*$A$35*(($A$35+'CB08 Coeffs'!R17*($A$27/'CB08 Coeffs'!O17)^'CB08 Coeffs'!S17)^(-1)-($A$35+'CB08 Coeffs'!R17)^(-1)),0)</f>
        <v>0</v>
      </c>
      <c r="G18" s="14">
        <f>SQRT(('CB08 Coeffs'!T17^2-'CB08 Coeffs'!V17^2)+'CB08 Coeffs'!V17^2+$F18^2*('CB08 Coeffs'!T$26^2-'CB08 Coeffs'!V$26^2)+2*$F18*'CB08 Coeffs'!X17*SQRT('CB08 Coeffs'!T17^2-'CB08 Coeffs'!V17^2)*SQRT('CB08 Coeffs'!T$26^2-'CB08 Coeffs'!V$26^2))</f>
        <v>0.56799999999999995</v>
      </c>
      <c r="H18" s="14">
        <f>'CB08 Coeffs'!U17</f>
        <v>0.22700000000000001</v>
      </c>
      <c r="I18" s="14">
        <f>'CB08 Coeffs'!W17</f>
        <v>0.221</v>
      </c>
      <c r="J18" s="14">
        <f t="shared" si="0"/>
        <v>0.61168047214211441</v>
      </c>
      <c r="K18" s="14">
        <f t="shared" si="1"/>
        <v>0.65037988898796673</v>
      </c>
    </row>
    <row r="19" spans="1:11" ht="15.75" customHeight="1">
      <c r="A19" s="16"/>
      <c r="B19" s="29"/>
      <c r="C19" s="1"/>
      <c r="D19" s="31">
        <v>1</v>
      </c>
      <c r="E19" s="28">
        <f>IF($A$12="","",EXP('CB08 Coeffs'!$B18+'CB08 Coeffs'!$C18*$A$6+'CB08 Coeffs'!$D18*($A$6-5.5)*($A$6&gt;5.5)+'CB08 Coeffs'!$E18*($A$6-6.5)*($A$6&gt;6.5)+('CB08 Coeffs'!$F18+'CB08 Coeffs'!$G18*$A$6)*LN(SQRT($A$9^2+'CB08 Coeffs'!$H18^2))+'CB08 Coeffs'!$I18*$A$15*IF($A$21&lt;1,$A$21,1)+'CB08 Coeffs'!$J18*$A$18+'CB08 Coeffs'!$K18*IF($A$12=0,1,IF($A$21&lt;1,(MAX($A$9,SQRT($A$12^2+1))-$A$12)/MAX($A$9,SQRT($A$12^2+1)),($A$9-$A$12)/$A$9))*IF($A$6&lt;6,0,IF($A$6&gt;6.5,1,($A$6-6)/0.5))*IF($A$21&gt;20,0,(20-$A$21)/20)*IF($A$24&gt;70,(90-$A$24)/20,1)+('CB08 Coeffs'!$L18+'CB08 Coeffs'!$P18*'CB08 Coeffs'!$S18)*LN(MIN($A$27,1100)/'CB08 Coeffs'!$O18)*($A$27&gt;='CB08 Coeffs'!$O18)+('CB08 Coeffs'!$L18*LN($A$27/'CB08 Coeffs'!$O18)+'CB08 Coeffs'!$P18*(LN($A$35+'CB08 Coeffs'!$R18*($A$27/'CB08 Coeffs'!$O18)^'CB08 Coeffs'!$S18)-LN($A$35+'CB08 Coeffs'!$R18)))*($A$27&lt;'CB08 Coeffs'!$O18)+IF($A$30&lt;1,'CB08 Coeffs'!$M18*($A$30-1),IF($A$30&gt;3,'CB08 Coeffs'!$N18*'CB08 Coeffs'!$Q18*EXP(-0.75)*(1-EXP(-0.25*($A$30-3))),0))))</f>
        <v>0.15985715929545588</v>
      </c>
      <c r="F19" s="27">
        <f>IF($A$27&lt;'CB08 Coeffs'!O18,'CB08 Coeffs'!P18*$A$35*(($A$35+'CB08 Coeffs'!R18*($A$27/'CB08 Coeffs'!O18)^'CB08 Coeffs'!S18)^(-1)-($A$35+'CB08 Coeffs'!R18)^(-1)),0)</f>
        <v>0</v>
      </c>
      <c r="G19" s="14">
        <f>SQRT(('CB08 Coeffs'!T18^2-'CB08 Coeffs'!V18^2)+'CB08 Coeffs'!V18^2+$F19^2*('CB08 Coeffs'!T$26^2-'CB08 Coeffs'!V$26^2)+2*$F19*'CB08 Coeffs'!X18*SQRT('CB08 Coeffs'!T18^2-'CB08 Coeffs'!V18^2)*SQRT('CB08 Coeffs'!T$26^2-'CB08 Coeffs'!V$26^2))</f>
        <v>0.56799999999999995</v>
      </c>
      <c r="H19" s="14">
        <f>'CB08 Coeffs'!U18</f>
        <v>0.255</v>
      </c>
      <c r="I19" s="14">
        <f>'CB08 Coeffs'!W18</f>
        <v>0.22500000000000001</v>
      </c>
      <c r="J19" s="14">
        <f t="shared" si="0"/>
        <v>0.62261464807696254</v>
      </c>
      <c r="K19" s="14">
        <f t="shared" si="1"/>
        <v>0.66202265822251127</v>
      </c>
    </row>
    <row r="20" spans="1:11" ht="15.75" customHeight="1">
      <c r="A20" s="5" t="s">
        <v>83</v>
      </c>
      <c r="B20" s="29"/>
      <c r="C20" s="1"/>
      <c r="D20" s="31">
        <v>1.5</v>
      </c>
      <c r="E20" s="28">
        <f>IF($A$12="","",EXP('CB08 Coeffs'!$B19+'CB08 Coeffs'!$C19*$A$6+'CB08 Coeffs'!$D19*($A$6-5.5)*($A$6&gt;5.5)+'CB08 Coeffs'!$E19*($A$6-6.5)*($A$6&gt;6.5)+('CB08 Coeffs'!$F19+'CB08 Coeffs'!$G19*$A$6)*LN(SQRT($A$9^2+'CB08 Coeffs'!$H19^2))+'CB08 Coeffs'!$I19*$A$15*IF($A$21&lt;1,$A$21,1)+'CB08 Coeffs'!$J19*$A$18+'CB08 Coeffs'!$K19*IF($A$12=0,1,IF($A$21&lt;1,(MAX($A$9,SQRT($A$12^2+1))-$A$12)/MAX($A$9,SQRT($A$12^2+1)),($A$9-$A$12)/$A$9))*IF($A$6&lt;6,0,IF($A$6&gt;6.5,1,($A$6-6)/0.5))*IF($A$21&gt;20,0,(20-$A$21)/20)*IF($A$24&gt;70,(90-$A$24)/20,1)+('CB08 Coeffs'!$L19+'CB08 Coeffs'!$P19*'CB08 Coeffs'!$S19)*LN(MIN($A$27,1100)/'CB08 Coeffs'!$O19)*($A$27&gt;='CB08 Coeffs'!$O19)+('CB08 Coeffs'!$L19*LN($A$27/'CB08 Coeffs'!$O19)+'CB08 Coeffs'!$P19*(LN($A$35+'CB08 Coeffs'!$R19*($A$27/'CB08 Coeffs'!$O19)^'CB08 Coeffs'!$S19)-LN($A$35+'CB08 Coeffs'!$R19)))*($A$27&lt;'CB08 Coeffs'!$O19)+IF($A$30&lt;1,'CB08 Coeffs'!$M19*($A$30-1),IF($A$30&gt;3,'CB08 Coeffs'!$N19*'CB08 Coeffs'!$Q19*EXP(-0.75)*(1-EXP(-0.25*($A$30-3))),0))))</f>
        <v>0.11585453904832907</v>
      </c>
      <c r="F20" s="27">
        <f>IF($A$27&lt;'CB08 Coeffs'!O19,'CB08 Coeffs'!P19*$A$35*(($A$35+'CB08 Coeffs'!R19*($A$27/'CB08 Coeffs'!O19)^'CB08 Coeffs'!S19)^(-1)-($A$35+'CB08 Coeffs'!R19)^(-1)),0)</f>
        <v>0</v>
      </c>
      <c r="G20" s="14">
        <f>SQRT(('CB08 Coeffs'!T19^2-'CB08 Coeffs'!V19^2)+'CB08 Coeffs'!V19^2+$F20^2*('CB08 Coeffs'!T$26^2-'CB08 Coeffs'!V$26^2)+2*$F20*'CB08 Coeffs'!X19*SQRT('CB08 Coeffs'!T19^2-'CB08 Coeffs'!V19^2)*SQRT('CB08 Coeffs'!T$26^2-'CB08 Coeffs'!V$26^2))</f>
        <v>0.56399999999999995</v>
      </c>
      <c r="H20" s="14">
        <f>'CB08 Coeffs'!U19</f>
        <v>0.29599999999999999</v>
      </c>
      <c r="I20" s="14">
        <f>'CB08 Coeffs'!W19</f>
        <v>0.222</v>
      </c>
      <c r="J20" s="14">
        <f t="shared" si="0"/>
        <v>0.6369552574553411</v>
      </c>
      <c r="K20" s="14">
        <f t="shared" si="1"/>
        <v>0.67453391315781885</v>
      </c>
    </row>
    <row r="21" spans="1:11" ht="15.75" customHeight="1">
      <c r="A21" s="25">
        <f>Main!$A$37</f>
        <v>0</v>
      </c>
      <c r="B21" s="29"/>
      <c r="C21" s="1"/>
      <c r="D21" s="31">
        <v>2</v>
      </c>
      <c r="E21" s="28">
        <f>IF($A$12="","",EXP('CB08 Coeffs'!$B20+'CB08 Coeffs'!$C20*$A$6+'CB08 Coeffs'!$D20*($A$6-5.5)*($A$6&gt;5.5)+'CB08 Coeffs'!$E20*($A$6-6.5)*($A$6&gt;6.5)+('CB08 Coeffs'!$F20+'CB08 Coeffs'!$G20*$A$6)*LN(SQRT($A$9^2+'CB08 Coeffs'!$H20^2))+'CB08 Coeffs'!$I20*$A$15*IF($A$21&lt;1,$A$21,1)+'CB08 Coeffs'!$J20*$A$18+'CB08 Coeffs'!$K20*IF($A$12=0,1,IF($A$21&lt;1,(MAX($A$9,SQRT($A$12^2+1))-$A$12)/MAX($A$9,SQRT($A$12^2+1)),($A$9-$A$12)/$A$9))*IF($A$6&lt;6,0,IF($A$6&gt;6.5,1,($A$6-6)/0.5))*IF($A$21&gt;20,0,(20-$A$21)/20)*IF($A$24&gt;70,(90-$A$24)/20,1)+('CB08 Coeffs'!$L20+'CB08 Coeffs'!$P20*'CB08 Coeffs'!$S20)*LN(MIN($A$27,1100)/'CB08 Coeffs'!$O20)*($A$27&gt;='CB08 Coeffs'!$O20)+('CB08 Coeffs'!$L20*LN($A$27/'CB08 Coeffs'!$O20)+'CB08 Coeffs'!$P20*(LN($A$35+'CB08 Coeffs'!$R20*($A$27/'CB08 Coeffs'!$O20)^'CB08 Coeffs'!$S20)-LN($A$35+'CB08 Coeffs'!$R20)))*($A$27&lt;'CB08 Coeffs'!$O20)+IF($A$30&lt;1,'CB08 Coeffs'!$M20*($A$30-1),IF($A$30&gt;3,'CB08 Coeffs'!$N20*'CB08 Coeffs'!$Q20*EXP(-0.75)*(1-EXP(-0.25*($A$30-3))),0))))</f>
        <v>9.1150479426391678E-2</v>
      </c>
      <c r="F21" s="27">
        <f>IF($A$27&lt;'CB08 Coeffs'!O20,'CB08 Coeffs'!P20*$A$35*(($A$35+'CB08 Coeffs'!R20*($A$27/'CB08 Coeffs'!O20)^'CB08 Coeffs'!S20)^(-1)-($A$35+'CB08 Coeffs'!R20)^(-1)),0)</f>
        <v>0</v>
      </c>
      <c r="G21" s="14">
        <f>SQRT(('CB08 Coeffs'!T20^2-'CB08 Coeffs'!V20^2)+'CB08 Coeffs'!V20^2+$F21^2*('CB08 Coeffs'!T$26^2-'CB08 Coeffs'!V$26^2)+2*$F21*'CB08 Coeffs'!X20*SQRT('CB08 Coeffs'!T20^2-'CB08 Coeffs'!V20^2)*SQRT('CB08 Coeffs'!T$26^2-'CB08 Coeffs'!V$26^2))</f>
        <v>0.57099999999999995</v>
      </c>
      <c r="H21" s="14">
        <f>'CB08 Coeffs'!U20</f>
        <v>0.29599999999999999</v>
      </c>
      <c r="I21" s="14">
        <f>'CB08 Coeffs'!W20</f>
        <v>0.22600000000000001</v>
      </c>
      <c r="J21" s="14">
        <f t="shared" si="0"/>
        <v>0.64316172149778938</v>
      </c>
      <c r="K21" s="14">
        <f t="shared" si="1"/>
        <v>0.68171328283964072</v>
      </c>
    </row>
    <row r="22" spans="1:11" ht="15.75" customHeight="1">
      <c r="A22" s="25"/>
      <c r="B22" s="16"/>
      <c r="C22" s="1"/>
      <c r="D22" s="31">
        <v>3</v>
      </c>
      <c r="E22" s="28">
        <f>IF($A$12="","",EXP('CB08 Coeffs'!$B21+'CB08 Coeffs'!$C21*$A$6+'CB08 Coeffs'!$D21*($A$6-5.5)*($A$6&gt;5.5)+'CB08 Coeffs'!$E21*($A$6-6.5)*($A$6&gt;6.5)+('CB08 Coeffs'!$F21+'CB08 Coeffs'!$G21*$A$6)*LN(SQRT($A$9^2+'CB08 Coeffs'!$H21^2))+'CB08 Coeffs'!$I21*$A$15*IF($A$21&lt;1,$A$21,1)+'CB08 Coeffs'!$J21*$A$18+'CB08 Coeffs'!$K21*IF($A$12=0,1,IF($A$21&lt;1,(MAX($A$9,SQRT($A$12^2+1))-$A$12)/MAX($A$9,SQRT($A$12^2+1)),($A$9-$A$12)/$A$9))*IF($A$6&lt;6,0,IF($A$6&gt;6.5,1,($A$6-6)/0.5))*IF($A$21&gt;20,0,(20-$A$21)/20)*IF($A$24&gt;70,(90-$A$24)/20,1)+('CB08 Coeffs'!$L21+'CB08 Coeffs'!$P21*'CB08 Coeffs'!$S21)*LN(MIN($A$27,1100)/'CB08 Coeffs'!$O21)*($A$27&gt;='CB08 Coeffs'!$O21)+('CB08 Coeffs'!$L21*LN($A$27/'CB08 Coeffs'!$O21)+'CB08 Coeffs'!$P21*(LN($A$35+'CB08 Coeffs'!$R21*($A$27/'CB08 Coeffs'!$O21)^'CB08 Coeffs'!$S21)-LN($A$35+'CB08 Coeffs'!$R21)))*($A$27&lt;'CB08 Coeffs'!$O21)+IF($A$30&lt;1,'CB08 Coeffs'!$M21*($A$30-1),IF($A$30&gt;3,'CB08 Coeffs'!$N21*'CB08 Coeffs'!$Q21*EXP(-0.75)*(1-EXP(-0.25*($A$30-3))),0))))</f>
        <v>6.1426161926790478E-2</v>
      </c>
      <c r="F22" s="27">
        <f>IF($A$27&lt;'CB08 Coeffs'!O21,'CB08 Coeffs'!P21*$A$35*(($A$35+'CB08 Coeffs'!R21*($A$27/'CB08 Coeffs'!O21)^'CB08 Coeffs'!S21)^(-1)-($A$35+'CB08 Coeffs'!R21)^(-1)),0)</f>
        <v>0</v>
      </c>
      <c r="G22" s="14">
        <f>SQRT(('CB08 Coeffs'!T21^2-'CB08 Coeffs'!V21^2)+'CB08 Coeffs'!V21^2+$F22^2*('CB08 Coeffs'!T$26^2-'CB08 Coeffs'!V$26^2)+2*$F22*'CB08 Coeffs'!X21*SQRT('CB08 Coeffs'!T21^2-'CB08 Coeffs'!V21^2)*SQRT('CB08 Coeffs'!T$26^2-'CB08 Coeffs'!V$26^2))</f>
        <v>0.55800000000000005</v>
      </c>
      <c r="H22" s="14">
        <f>'CB08 Coeffs'!U21</f>
        <v>0.32600000000000001</v>
      </c>
      <c r="I22" s="14">
        <f>'CB08 Coeffs'!W21</f>
        <v>0.22900000000000001</v>
      </c>
      <c r="J22" s="14">
        <f t="shared" si="0"/>
        <v>0.64625072533808436</v>
      </c>
      <c r="K22" s="14">
        <f t="shared" si="1"/>
        <v>0.68562453281661395</v>
      </c>
    </row>
    <row r="23" spans="1:11" ht="15.75" customHeight="1">
      <c r="A23" s="23" t="s">
        <v>166</v>
      </c>
      <c r="B23" s="16"/>
      <c r="C23" s="1"/>
      <c r="D23" s="31">
        <v>4</v>
      </c>
      <c r="E23" s="28">
        <f>IF($A$12="","",EXP('CB08 Coeffs'!$B22+'CB08 Coeffs'!$C22*$A$6+'CB08 Coeffs'!$D22*($A$6-5.5)*($A$6&gt;5.5)+'CB08 Coeffs'!$E22*($A$6-6.5)*($A$6&gt;6.5)+('CB08 Coeffs'!$F22+'CB08 Coeffs'!$G22*$A$6)*LN(SQRT($A$9^2+'CB08 Coeffs'!$H22^2))+'CB08 Coeffs'!$I22*$A$15*IF($A$21&lt;1,$A$21,1)+'CB08 Coeffs'!$J22*$A$18+'CB08 Coeffs'!$K22*IF($A$12=0,1,IF($A$21&lt;1,(MAX($A$9,SQRT($A$12^2+1))-$A$12)/MAX($A$9,SQRT($A$12^2+1)),($A$9-$A$12)/$A$9))*IF($A$6&lt;6,0,IF($A$6&gt;6.5,1,($A$6-6)/0.5))*IF($A$21&gt;20,0,(20-$A$21)/20)*IF($A$24&gt;70,(90-$A$24)/20,1)+('CB08 Coeffs'!$L22+'CB08 Coeffs'!$P22*'CB08 Coeffs'!$S22)*LN(MIN($A$27,1100)/'CB08 Coeffs'!$O22)*($A$27&gt;='CB08 Coeffs'!$O22)+('CB08 Coeffs'!$L22*LN($A$27/'CB08 Coeffs'!$O22)+'CB08 Coeffs'!$P22*(LN($A$35+'CB08 Coeffs'!$R22*($A$27/'CB08 Coeffs'!$O22)^'CB08 Coeffs'!$S22)-LN($A$35+'CB08 Coeffs'!$R22)))*($A$27&lt;'CB08 Coeffs'!$O22)+IF($A$30&lt;1,'CB08 Coeffs'!$M22*($A$30-1),IF($A$30&gt;3,'CB08 Coeffs'!$N22*'CB08 Coeffs'!$Q22*EXP(-0.75)*(1-EXP(-0.25*($A$30-3))),0))))</f>
        <v>4.6914924029353385E-2</v>
      </c>
      <c r="F23" s="27">
        <f>IF($A$27&lt;'CB08 Coeffs'!O22,'CB08 Coeffs'!P22*$A$35*(($A$35+'CB08 Coeffs'!R22*($A$27/'CB08 Coeffs'!O22)^'CB08 Coeffs'!S22)^(-1)-($A$35+'CB08 Coeffs'!R22)^(-1)),0)</f>
        <v>0</v>
      </c>
      <c r="G23" s="14">
        <f>SQRT(('CB08 Coeffs'!T22^2-'CB08 Coeffs'!V22^2)+'CB08 Coeffs'!V22^2+$F23^2*('CB08 Coeffs'!T$26^2-'CB08 Coeffs'!V$26^2)+2*$F23*'CB08 Coeffs'!X22*SQRT('CB08 Coeffs'!T22^2-'CB08 Coeffs'!V22^2)*SQRT('CB08 Coeffs'!T$26^2-'CB08 Coeffs'!V$26^2))</f>
        <v>0.57599999999999996</v>
      </c>
      <c r="H23" s="14">
        <f>'CB08 Coeffs'!U22</f>
        <v>0.29699999999999999</v>
      </c>
      <c r="I23" s="14">
        <f>'CB08 Coeffs'!W22</f>
        <v>0.23699999999999999</v>
      </c>
      <c r="J23" s="14">
        <f t="shared" si="0"/>
        <v>0.64806249698620888</v>
      </c>
      <c r="K23" s="14">
        <f t="shared" si="1"/>
        <v>0.69003912932528688</v>
      </c>
    </row>
    <row r="24" spans="1:11" ht="15.75" customHeight="1">
      <c r="A24" s="17">
        <f>Main!$A$40</f>
        <v>90</v>
      </c>
      <c r="B24" s="16"/>
      <c r="C24" s="1"/>
      <c r="D24" s="31">
        <v>5</v>
      </c>
      <c r="E24" s="28">
        <f>IF($A$12="","",EXP('CB08 Coeffs'!$B23+'CB08 Coeffs'!$C23*$A$6+'CB08 Coeffs'!$D23*($A$6-5.5)*($A$6&gt;5.5)+'CB08 Coeffs'!$E23*($A$6-6.5)*($A$6&gt;6.5)+('CB08 Coeffs'!$F23+'CB08 Coeffs'!$G23*$A$6)*LN(SQRT($A$9^2+'CB08 Coeffs'!$H23^2))+'CB08 Coeffs'!$I23*$A$15*IF($A$21&lt;1,$A$21,1)+'CB08 Coeffs'!$J23*$A$18+'CB08 Coeffs'!$K23*IF($A$12=0,1,IF($A$21&lt;1,(MAX($A$9,SQRT($A$12^2+1))-$A$12)/MAX($A$9,SQRT($A$12^2+1)),($A$9-$A$12)/$A$9))*IF($A$6&lt;6,0,IF($A$6&gt;6.5,1,($A$6-6)/0.5))*IF($A$21&gt;20,0,(20-$A$21)/20)*IF($A$24&gt;70,(90-$A$24)/20,1)+('CB08 Coeffs'!$L23+'CB08 Coeffs'!$P23*'CB08 Coeffs'!$S23)*LN(MIN($A$27,1100)/'CB08 Coeffs'!$O23)*($A$27&gt;='CB08 Coeffs'!$O23)+('CB08 Coeffs'!$L23*LN($A$27/'CB08 Coeffs'!$O23)+'CB08 Coeffs'!$P23*(LN($A$35+'CB08 Coeffs'!$R23*($A$27/'CB08 Coeffs'!$O23)^'CB08 Coeffs'!$S23)-LN($A$35+'CB08 Coeffs'!$R23)))*($A$27&lt;'CB08 Coeffs'!$O23)+IF($A$30&lt;1,'CB08 Coeffs'!$M23*($A$30-1),IF($A$30&gt;3,'CB08 Coeffs'!$N23*'CB08 Coeffs'!$Q23*EXP(-0.75)*(1-EXP(-0.25*($A$30-3))),0))))</f>
        <v>3.914747146061924E-2</v>
      </c>
      <c r="F24" s="27">
        <f>IF($A$27&lt;'CB08 Coeffs'!O23,'CB08 Coeffs'!P23*$A$35*(($A$35+'CB08 Coeffs'!R23*($A$27/'CB08 Coeffs'!O23)^'CB08 Coeffs'!S23)^(-1)-($A$35+'CB08 Coeffs'!R23)^(-1)),0)</f>
        <v>0</v>
      </c>
      <c r="G24" s="14">
        <f>SQRT(('CB08 Coeffs'!T23^2-'CB08 Coeffs'!V23^2)+'CB08 Coeffs'!V23^2+$F24^2*('CB08 Coeffs'!T$26^2-'CB08 Coeffs'!V$26^2)+2*$F24*'CB08 Coeffs'!X23*SQRT('CB08 Coeffs'!T23^2-'CB08 Coeffs'!V23^2)*SQRT('CB08 Coeffs'!T$26^2-'CB08 Coeffs'!V$26^2))</f>
        <v>0.60099999999999998</v>
      </c>
      <c r="H24" s="14">
        <f>'CB08 Coeffs'!U23</f>
        <v>0.35899999999999999</v>
      </c>
      <c r="I24" s="14">
        <f>'CB08 Coeffs'!W23</f>
        <v>0.23699999999999999</v>
      </c>
      <c r="J24" s="14">
        <f t="shared" si="0"/>
        <v>0.70005856897833918</v>
      </c>
      <c r="K24" s="14">
        <f t="shared" si="1"/>
        <v>0.73908795146450601</v>
      </c>
    </row>
    <row r="25" spans="1:11" ht="15.75" customHeight="1">
      <c r="A25" s="17"/>
      <c r="B25" s="16"/>
      <c r="C25" s="1"/>
      <c r="D25" s="31">
        <v>7.5</v>
      </c>
      <c r="E25" s="28">
        <f>IF($A$12="","",EXP('CB08 Coeffs'!$B24+'CB08 Coeffs'!$C24*$A$6+'CB08 Coeffs'!$D24*($A$6-5.5)*($A$6&gt;5.5)+'CB08 Coeffs'!$E24*($A$6-6.5)*($A$6&gt;6.5)+('CB08 Coeffs'!$F24+'CB08 Coeffs'!$G24*$A$6)*LN(SQRT($A$9^2+'CB08 Coeffs'!$H24^2))+'CB08 Coeffs'!$I24*$A$15*IF($A$21&lt;1,$A$21,1)+'CB08 Coeffs'!$J24*$A$18+'CB08 Coeffs'!$K24*IF($A$12=0,1,IF($A$21&lt;1,(MAX($A$9,SQRT($A$12^2+1))-$A$12)/MAX($A$9,SQRT($A$12^2+1)),($A$9-$A$12)/$A$9))*IF($A$6&lt;6,0,IF($A$6&gt;6.5,1,($A$6-6)/0.5))*IF($A$21&gt;20,0,(20-$A$21)/20)*IF($A$24&gt;70,(90-$A$24)/20,1)+('CB08 Coeffs'!$L24+'CB08 Coeffs'!$P24*'CB08 Coeffs'!$S24)*LN(MIN($A$27,1100)/'CB08 Coeffs'!$O24)*($A$27&gt;='CB08 Coeffs'!$O24)+('CB08 Coeffs'!$L24*LN($A$27/'CB08 Coeffs'!$O24)+'CB08 Coeffs'!$P24*(LN($A$35+'CB08 Coeffs'!$R24*($A$27/'CB08 Coeffs'!$O24)^'CB08 Coeffs'!$S24)-LN($A$35+'CB08 Coeffs'!$R24)))*($A$27&lt;'CB08 Coeffs'!$O24)+IF($A$30&lt;1,'CB08 Coeffs'!$M24*($A$30-1),IF($A$30&gt;3,'CB08 Coeffs'!$N24*'CB08 Coeffs'!$Q24*EXP(-0.75)*(1-EXP(-0.25*($A$30-3))),0))))</f>
        <v>2.825684797510998E-2</v>
      </c>
      <c r="F25" s="27">
        <f>IF($A$27&lt;'CB08 Coeffs'!O24,'CB08 Coeffs'!P24*$A$35*(($A$35+'CB08 Coeffs'!R24*($A$27/'CB08 Coeffs'!O24)^'CB08 Coeffs'!S24)^(-1)-($A$35+'CB08 Coeffs'!R24)^(-1)),0)</f>
        <v>0</v>
      </c>
      <c r="G25" s="14">
        <f>SQRT(('CB08 Coeffs'!T24^2-'CB08 Coeffs'!V24^2)+'CB08 Coeffs'!V24^2+$F25^2*('CB08 Coeffs'!T$26^2-'CB08 Coeffs'!V$26^2)+2*$F25*'CB08 Coeffs'!X24*SQRT('CB08 Coeffs'!T24^2-'CB08 Coeffs'!V24^2)*SQRT('CB08 Coeffs'!T$26^2-'CB08 Coeffs'!V$26^2))</f>
        <v>0.628</v>
      </c>
      <c r="H25" s="14">
        <f>'CB08 Coeffs'!U24</f>
        <v>0.42799999999999999</v>
      </c>
      <c r="I25" s="14">
        <f>'CB08 Coeffs'!W24</f>
        <v>0.27100000000000002</v>
      </c>
      <c r="J25" s="14">
        <f t="shared" si="0"/>
        <v>0.75997894707682523</v>
      </c>
      <c r="K25" s="14">
        <f t="shared" si="1"/>
        <v>0.80685128741299039</v>
      </c>
    </row>
    <row r="26" spans="1:11" ht="15.75" customHeight="1">
      <c r="A26" s="5" t="s">
        <v>180</v>
      </c>
      <c r="B26" s="16"/>
      <c r="C26" s="1"/>
      <c r="D26" s="31">
        <v>10</v>
      </c>
      <c r="E26" s="28">
        <f>IF($A$12="","",EXP('CB08 Coeffs'!$B25+'CB08 Coeffs'!$C25*$A$6+'CB08 Coeffs'!$D25*($A$6-5.5)*($A$6&gt;5.5)+'CB08 Coeffs'!$E25*($A$6-6.5)*($A$6&gt;6.5)+('CB08 Coeffs'!$F25+'CB08 Coeffs'!$G25*$A$6)*LN(SQRT($A$9^2+'CB08 Coeffs'!$H25^2))+'CB08 Coeffs'!$I25*$A$15*IF($A$21&lt;1,$A$21,1)+'CB08 Coeffs'!$J25*$A$18+'CB08 Coeffs'!$K25*IF($A$12=0,1,IF($A$21&lt;1,(MAX($A$9,SQRT($A$12^2+1))-$A$12)/MAX($A$9,SQRT($A$12^2+1)),($A$9-$A$12)/$A$9))*IF($A$6&lt;6,0,IF($A$6&gt;6.5,1,($A$6-6)/0.5))*IF($A$21&gt;20,0,(20-$A$21)/20)*IF($A$24&gt;70,(90-$A$24)/20,1)+('CB08 Coeffs'!$L25+'CB08 Coeffs'!$P25*'CB08 Coeffs'!$S25)*LN(MIN($A$27,1100)/'CB08 Coeffs'!$O25)*($A$27&gt;='CB08 Coeffs'!$O25)+('CB08 Coeffs'!$L25*LN($A$27/'CB08 Coeffs'!$O25)+'CB08 Coeffs'!$P25*(LN($A$35+'CB08 Coeffs'!$R25*($A$27/'CB08 Coeffs'!$O25)^'CB08 Coeffs'!$S25)-LN($A$35+'CB08 Coeffs'!$R25)))*($A$27&lt;'CB08 Coeffs'!$O25)+IF($A$30&lt;1,'CB08 Coeffs'!$M25*($A$30-1),IF($A$30&gt;3,'CB08 Coeffs'!$N25*'CB08 Coeffs'!$Q25*EXP(-0.75)*(1-EXP(-0.25*($A$30-3))),0))))</f>
        <v>2.2428575423602846E-2</v>
      </c>
      <c r="F26" s="27">
        <f>IF($A$27&lt;'CB08 Coeffs'!O25,'CB08 Coeffs'!P25*$A$35*(($A$35+'CB08 Coeffs'!R25*($A$27/'CB08 Coeffs'!O25)^'CB08 Coeffs'!S25)^(-1)-($A$35+'CB08 Coeffs'!R25)^(-1)),0)</f>
        <v>0</v>
      </c>
      <c r="G26" s="14">
        <f>SQRT(('CB08 Coeffs'!T25^2-'CB08 Coeffs'!V25^2)+'CB08 Coeffs'!V25^2+$F26^2*('CB08 Coeffs'!T$26^2-'CB08 Coeffs'!V$26^2)+2*$F26*'CB08 Coeffs'!X25*SQRT('CB08 Coeffs'!T25^2-'CB08 Coeffs'!V25^2)*SQRT('CB08 Coeffs'!T$26^2-'CB08 Coeffs'!V$26^2))</f>
        <v>0.66700000000000004</v>
      </c>
      <c r="H26" s="14">
        <f>'CB08 Coeffs'!U25</f>
        <v>0.48499999999999999</v>
      </c>
      <c r="I26" s="14">
        <f>'CB08 Coeffs'!W25</f>
        <v>0.28999999999999998</v>
      </c>
      <c r="J26" s="14">
        <f t="shared" si="0"/>
        <v>0.82469024487985787</v>
      </c>
      <c r="K26" s="14">
        <f t="shared" si="1"/>
        <v>0.87419334245920677</v>
      </c>
    </row>
    <row r="27" spans="1:11" ht="15.75" customHeight="1">
      <c r="A27" s="17">
        <f>IF(Main!$A$43&gt;1500,1500,Main!$A$43)</f>
        <v>760</v>
      </c>
      <c r="B27" s="16"/>
      <c r="C27" s="16"/>
      <c r="D27" s="35"/>
      <c r="E27" s="28"/>
      <c r="F27" s="27"/>
      <c r="G27" s="14"/>
      <c r="H27" s="14"/>
      <c r="I27" s="14"/>
      <c r="J27" s="14"/>
      <c r="K27" s="14"/>
    </row>
    <row r="28" spans="1:11" ht="15.75" customHeight="1">
      <c r="A28" s="17"/>
      <c r="B28" s="16"/>
      <c r="C28" s="1" t="s">
        <v>31</v>
      </c>
      <c r="D28" s="32">
        <v>0</v>
      </c>
      <c r="E28" s="28">
        <f>IF($A$12="","",EXP('CB08 Coeffs'!$B26+'CB08 Coeffs'!$C26*$A$6+'CB08 Coeffs'!$D26*($A$6-5.5)*($A$6&gt;5.5)+'CB08 Coeffs'!$E26*($A$6-6.5)*($A$6&gt;6.5)+('CB08 Coeffs'!$F26+'CB08 Coeffs'!$G26*$A$6)*LN(SQRT($A$9^2+'CB08 Coeffs'!$H26^2))+'CB08 Coeffs'!$I26*$A$15*IF($A$21&lt;1,$A$21,1)+'CB08 Coeffs'!$J26*$A$18+'CB08 Coeffs'!$K26*IF($A$12=0,1,IF($A$21&lt;1,(MAX($A$9,SQRT($A$12^2+1))-$A$12)/MAX($A$9,SQRT($A$12^2+1)),($A$9-$A$12)/$A$9))*IF($A$6&lt;6,0,IF($A$6&gt;6.5,1,($A$6-6)/0.5))*IF($A$21&gt;20,0,(20-$A$21)/20)*IF($A$24&gt;70,(90-$A$24)/20,1)+('CB08 Coeffs'!$L26+'CB08 Coeffs'!$P26*'CB08 Coeffs'!$S26)*LN(MIN($A$27,1100)/'CB08 Coeffs'!$O26)*($A$27&gt;='CB08 Coeffs'!$O26)+('CB08 Coeffs'!$L26*LN($A$27/'CB08 Coeffs'!$O26)+'CB08 Coeffs'!$P26*(LN($A$35+'CB08 Coeffs'!$R26*($A$27/'CB08 Coeffs'!$O26)^'CB08 Coeffs'!$S26)-LN($A$35+'CB08 Coeffs'!$R26)))*($A$27&lt;'CB08 Coeffs'!$O26)+IF($A$30&lt;1,'CB08 Coeffs'!$M26*($A$30-1),IF($A$30&gt;3,'CB08 Coeffs'!$N26*'CB08 Coeffs'!$Q26*EXP(-0.75)*(1-EXP(-0.25*($A$30-3))),0))))</f>
        <v>0.13622053312776025</v>
      </c>
      <c r="F28" s="27">
        <f>IF($A$27&lt;'CB08 Coeffs'!O26,'CB08 Coeffs'!P26*$A$35*(($A$35+'CB08 Coeffs'!R26*($A$27/'CB08 Coeffs'!O26)^'CB08 Coeffs'!S26)^(-1)-($A$35+'CB08 Coeffs'!R26)^(-1)),0)</f>
        <v>-1.1045451209167405E-2</v>
      </c>
      <c r="G28" s="14">
        <f>SQRT(('CB08 Coeffs'!T26^2-'CB08 Coeffs'!V26^2)+'CB08 Coeffs'!V26^2+$F28^2*('CB08 Coeffs'!T$26^2-'CB08 Coeffs'!V$26^2)+2*$F28*'CB08 Coeffs'!X26*SQRT('CB08 Coeffs'!T26^2-'CB08 Coeffs'!V26^2)*SQRT('CB08 Coeffs'!T$26^2-'CB08 Coeffs'!V$26^2))</f>
        <v>0.47480697003457811</v>
      </c>
      <c r="H28" s="14">
        <f>'CB08 Coeffs'!U26</f>
        <v>0.219</v>
      </c>
      <c r="I28" s="14">
        <f>'CB08 Coeffs'!W26</f>
        <v>0.16600000000000001</v>
      </c>
      <c r="J28" s="14">
        <f>SQRT(G28^2+H28^2)</f>
        <v>0.52287920095698659</v>
      </c>
      <c r="K28" s="14">
        <f>SQRT(G28^2+H28^2+I28^2)</f>
        <v>0.54859699123620498</v>
      </c>
    </row>
    <row r="29" spans="1:11" ht="15.75" customHeight="1">
      <c r="A29" s="5" t="s">
        <v>167</v>
      </c>
      <c r="B29" s="16"/>
      <c r="C29" s="1" t="s">
        <v>59</v>
      </c>
      <c r="D29" s="32">
        <v>-1</v>
      </c>
      <c r="E29" s="28">
        <f>IF($A$12="","",EXP('CB08 Coeffs'!$B27+'CB08 Coeffs'!$C27*$A$6+'CB08 Coeffs'!$D27*($A$6-5.5)*($A$6&gt;5.5)+'CB08 Coeffs'!$E27*($A$6-6.5)*($A$6&gt;6.5)+('CB08 Coeffs'!$F27+'CB08 Coeffs'!$G27*$A$6)*LN(SQRT($A$9^2+'CB08 Coeffs'!$H27^2))+'CB08 Coeffs'!$I27*$A$15*IF($A$21&lt;1,$A$21,1)+'CB08 Coeffs'!$J27*$A$18+'CB08 Coeffs'!$K27*IF($A$12=0,1,IF($A$21&lt;1,(MAX($A$9,SQRT($A$12^2+1))-$A$12)/MAX($A$9,SQRT($A$12^2+1)),($A$9-$A$12)/$A$9))*IF($A$6&lt;6,0,IF($A$6&gt;6.5,1,($A$6-6)/0.5))*IF($A$21&gt;20,0,(20-$A$21)/20)*IF($A$24&gt;70,(90-$A$24)/20,1)+('CB08 Coeffs'!$L27+'CB08 Coeffs'!$P27*'CB08 Coeffs'!$S27)*LN(MIN($A$27,1100)/'CB08 Coeffs'!$O27)*($A$27&gt;='CB08 Coeffs'!$O27)+('CB08 Coeffs'!$L27*LN($A$27/'CB08 Coeffs'!$O27)+'CB08 Coeffs'!$P27*(LN($A$35+'CB08 Coeffs'!$R27*($A$27/'CB08 Coeffs'!$O27)^'CB08 Coeffs'!$S27)-LN($A$35+'CB08 Coeffs'!$R27)))*($A$27&lt;'CB08 Coeffs'!$O27)+IF($A$30&lt;1,'CB08 Coeffs'!$M27*($A$30-1),IF($A$30&gt;3,'CB08 Coeffs'!$N27*'CB08 Coeffs'!$Q27*EXP(-0.75)*(1-EXP(-0.25*($A$30-3))),0))))</f>
        <v>23.918102752662506</v>
      </c>
      <c r="F29" s="27">
        <f>IF($A$27&lt;'CB08 Coeffs'!O27,'CB08 Coeffs'!P27*$A$35*(($A$35+'CB08 Coeffs'!R27*($A$27/'CB08 Coeffs'!O27)^'CB08 Coeffs'!S27)^(-1)-($A$35+'CB08 Coeffs'!R27)^(-1)),0)</f>
        <v>0</v>
      </c>
      <c r="G29" s="14">
        <f>SQRT(('CB08 Coeffs'!T27^2-'CB08 Coeffs'!V27^2)+'CB08 Coeffs'!V27^2+$F29^2*('CB08 Coeffs'!T$26^2-'CB08 Coeffs'!V$26^2)+2*$F29*'CB08 Coeffs'!X27*SQRT('CB08 Coeffs'!T27^2-'CB08 Coeffs'!V27^2)*SQRT('CB08 Coeffs'!T$26^2-'CB08 Coeffs'!V$26^2))</f>
        <v>0.48399999999999999</v>
      </c>
      <c r="H29" s="14">
        <f>'CB08 Coeffs'!U27</f>
        <v>0.20300000000000001</v>
      </c>
      <c r="I29" s="14">
        <f>'CB08 Coeffs'!W27</f>
        <v>0.19</v>
      </c>
      <c r="J29" s="14">
        <f>SQRT(G29^2+H29^2)</f>
        <v>0.5248475969269556</v>
      </c>
      <c r="K29" s="14">
        <f>SQRT(G29^2+H29^2+I29^2)</f>
        <v>0.55818007846930551</v>
      </c>
    </row>
    <row r="30" spans="1:11" ht="15.75" customHeight="1">
      <c r="A30" s="25">
        <f>IF(Main!$A$52="DEFAULT",0.519+3.595*'AS08'!A36/1000,Main!$A$52)</f>
        <v>0.6402338943641287</v>
      </c>
      <c r="B30" s="16"/>
      <c r="C30" s="1" t="s">
        <v>174</v>
      </c>
      <c r="D30" s="32">
        <v>-2</v>
      </c>
      <c r="E30" s="28">
        <f>IF($A$12="","",EXP('CB08 Coeffs'!$B28+'CB08 Coeffs'!$C28*$A$6+'CB08 Coeffs'!$D28*($A$6-5.5)*($A$6&gt;5.5)+'CB08 Coeffs'!$E28*($A$6-6.5)*($A$6&gt;6.5)+('CB08 Coeffs'!$F28+'CB08 Coeffs'!$G28*$A$6)*LN(SQRT($A$9^2+'CB08 Coeffs'!$H28^2))+'CB08 Coeffs'!$I28*$A$15*IF($A$21&lt;1,$A$21,1)+'CB08 Coeffs'!$J28*$A$18+'CB08 Coeffs'!$K28*IF($A$12=0,1,IF($A$21&lt;1,(MAX($A$9,SQRT($A$12^2+1))-$A$12)/MAX($A$9,SQRT($A$12^2+1)),($A$9-$A$12)/$A$9))*IF($A$6&lt;6,0,IF($A$6&gt;6.5,1,($A$6-6)/0.5))*IF($A$21&gt;20,0,(20-$A$21)/20)*IF($A$24&gt;70,(90-$A$24)/20,1)+('CB08 Coeffs'!$L28+'CB08 Coeffs'!$P28*'CB08 Coeffs'!$S28)*LN(MIN($A$27,1100)/'CB08 Coeffs'!$O28)*($A$27&gt;='CB08 Coeffs'!$O28)+('CB08 Coeffs'!$L28*LN($A$27/'CB08 Coeffs'!$O28)+'CB08 Coeffs'!$P28*(LN($A$35+'CB08 Coeffs'!$R28*($A$27/'CB08 Coeffs'!$O28)^'CB08 Coeffs'!$S28)-LN($A$35+'CB08 Coeffs'!$R28)))*($A$27&lt;'CB08 Coeffs'!$O28)+IF($A$30&lt;1,'CB08 Coeffs'!$M28*($A$30-1),IF($A$30&gt;3,'CB08 Coeffs'!$N28*'CB08 Coeffs'!$Q28*EXP(-0.75)*(1-EXP(-0.25*($A$30-3))),0))))</f>
        <v>104.85522145925547</v>
      </c>
      <c r="F30" s="27">
        <f>IF($A$27&lt;'CB08 Coeffs'!O28,'CB08 Coeffs'!P28*$A$35*(($A$35+'CB08 Coeffs'!R28*($A$27/'CB08 Coeffs'!O28)^'CB08 Coeffs'!S28)^(-1)-($A$35+'CB08 Coeffs'!R28)^(-1)),0)</f>
        <v>0</v>
      </c>
      <c r="G30" s="14">
        <f>SQRT(('CB08 Coeffs'!T28^2-'CB08 Coeffs'!V28^2)+'CB08 Coeffs'!V28^2+$F30^2*('CB08 Coeffs'!T$26^2-'CB08 Coeffs'!V$26^2)+2*$F30*'CB08 Coeffs'!X28*SQRT('CB08 Coeffs'!T28^2-'CB08 Coeffs'!V28^2)*SQRT('CB08 Coeffs'!T$26^2-'CB08 Coeffs'!V$26^2))</f>
        <v>0.66700000000000004</v>
      </c>
      <c r="H30" s="14">
        <f>'CB08 Coeffs'!U28</f>
        <v>0.48499999999999999</v>
      </c>
      <c r="I30" s="14">
        <f>'CB08 Coeffs'!W28</f>
        <v>0.28999999999999998</v>
      </c>
      <c r="J30" s="14">
        <f>SQRT(G30^2+H30^2)</f>
        <v>0.82469024487985787</v>
      </c>
      <c r="K30" s="14">
        <f>SQRT(G30^2+H30^2+I30^2)</f>
        <v>0.87419334245920677</v>
      </c>
    </row>
    <row r="31" spans="1:11" ht="15.75" customHeight="1">
      <c r="A31" s="25"/>
      <c r="B31" s="16"/>
    </row>
    <row r="32" spans="1:11" ht="15.75" customHeight="1">
      <c r="A32" s="1" t="s">
        <v>144</v>
      </c>
    </row>
    <row r="33" spans="1:16" ht="15.75" customHeight="1">
      <c r="A33" s="16"/>
    </row>
    <row r="34" spans="1:16" ht="15.75" customHeight="1">
      <c r="A34" s="5" t="s">
        <v>168</v>
      </c>
      <c r="B34" s="29"/>
      <c r="C34" s="16"/>
    </row>
    <row r="35" spans="1:16" ht="15.75" customHeight="1">
      <c r="A35" s="28">
        <f>EXP('CB08 Coeffs'!$B$5+'CB08 Coeffs'!$C$5*$A$6+'CB08 Coeffs'!$D$5*($A$6-5.5)*($A$6&gt;5.5)+'CB08 Coeffs'!$E$5*($A$6-6.5)*($A$6&gt;6.5)+('CB08 Coeffs'!$F$5+'CB08 Coeffs'!$G$5*$A$6)*LN(SQRT($A$9^2+'CB08 Coeffs'!$H$5^2))+'CB08 Coeffs'!$I$5*$A$15*IF($A$21&lt;1,$A$21,1)+'CB08 Coeffs'!$J$5*$A$18+'CB08 Coeffs'!$K$5*IF($A$12=0,1,IF($A$21&lt;1,(MAX($A$9,SQRT($A$12^2+1))-$A$12)/MAX($A$9,SQRT($A$12^2+1)),($A$9-$A$12)/$A$9))*IF($A$6&lt;6,0,IF($A$6&gt;6.5,1,($A$6-6)/0.5))*IF($A$21&gt;20,0,(20-$A$21)/20)*IF($A$24&gt;70,(90-$A$24)/20,1)+('CB08 Coeffs'!$L$5+'CB08 Coeffs'!$P$5*'CB08 Coeffs'!$S$5)*LN(1100/'CB08 Coeffs'!$O$5)+IF($A$30&lt;1,'CB08 Coeffs'!$M$5*($A$30-1),IF($A$30&gt;3,'CB08 Coeffs'!$N$5*'CB08 Coeffs'!$Q$5*EXP(-0.75)*(1-EXP(-0.25*($A$30-3))),0)))</f>
        <v>0.12148998654923729</v>
      </c>
      <c r="B35" s="36"/>
      <c r="C35" s="16"/>
    </row>
    <row r="36" spans="1:16" ht="15.75" customHeight="1">
      <c r="A36" s="16"/>
      <c r="B36" s="36"/>
      <c r="C36" s="16"/>
    </row>
    <row r="37" spans="1:16" ht="15.75" customHeight="1">
      <c r="A37" s="40" t="s">
        <v>34</v>
      </c>
      <c r="B37" s="36"/>
      <c r="C37" s="16"/>
    </row>
    <row r="38" spans="1:16" ht="15.75" customHeight="1">
      <c r="B38" s="36"/>
      <c r="C38" s="16"/>
    </row>
    <row r="39" spans="1:16" ht="15.75" customHeight="1">
      <c r="A39" s="41" t="s">
        <v>50</v>
      </c>
      <c r="B39" s="37" t="s">
        <v>39</v>
      </c>
      <c r="C39" s="16"/>
      <c r="O39" s="4"/>
      <c r="P39" s="4"/>
    </row>
    <row r="40" spans="1:16" ht="15.75" customHeight="1">
      <c r="A40" s="41" t="s">
        <v>35</v>
      </c>
      <c r="B40" s="37" t="s">
        <v>36</v>
      </c>
      <c r="C40" s="16"/>
      <c r="O40" s="4"/>
      <c r="P40" s="4"/>
    </row>
    <row r="41" spans="1:16" ht="15.75" customHeight="1">
      <c r="A41" s="41" t="s">
        <v>61</v>
      </c>
      <c r="B41" s="37" t="s">
        <v>65</v>
      </c>
      <c r="C41" s="16"/>
      <c r="M41" s="13"/>
      <c r="N41" s="13"/>
      <c r="O41" s="14"/>
      <c r="P41" s="14"/>
    </row>
    <row r="42" spans="1:16" ht="15.75" customHeight="1">
      <c r="A42" s="41" t="s">
        <v>170</v>
      </c>
      <c r="B42" s="38" t="s">
        <v>171</v>
      </c>
      <c r="C42" s="16"/>
      <c r="M42" s="13"/>
      <c r="N42" s="13"/>
      <c r="O42" s="14"/>
      <c r="P42" s="14"/>
    </row>
    <row r="43" spans="1:16" ht="15.75" customHeight="1">
      <c r="A43" s="42" t="s">
        <v>45</v>
      </c>
      <c r="B43" s="37" t="s">
        <v>37</v>
      </c>
      <c r="C43" s="16"/>
    </row>
    <row r="44" spans="1:16" ht="15.75" customHeight="1">
      <c r="A44" s="43" t="s">
        <v>91</v>
      </c>
      <c r="B44" s="37" t="s">
        <v>40</v>
      </c>
    </row>
    <row r="45" spans="1:16" ht="15.75" customHeight="1">
      <c r="A45" s="43" t="s">
        <v>92</v>
      </c>
      <c r="B45" s="37" t="s">
        <v>41</v>
      </c>
    </row>
    <row r="46" spans="1:16" ht="15.75" customHeight="1">
      <c r="A46" s="43" t="s">
        <v>94</v>
      </c>
      <c r="B46" s="37" t="s">
        <v>42</v>
      </c>
    </row>
    <row r="47" spans="1:16" ht="15.75" customHeight="1">
      <c r="A47" s="43" t="s">
        <v>175</v>
      </c>
      <c r="B47" s="37" t="s">
        <v>172</v>
      </c>
    </row>
    <row r="48" spans="1:16" ht="14.25">
      <c r="A48" s="43" t="s">
        <v>97</v>
      </c>
      <c r="B48" s="37" t="s">
        <v>38</v>
      </c>
    </row>
    <row r="49" spans="1:2" ht="15.75">
      <c r="A49" s="44" t="s">
        <v>169</v>
      </c>
      <c r="B49" s="37" t="s">
        <v>43</v>
      </c>
    </row>
    <row r="50" spans="1:2" ht="14.25">
      <c r="A50" s="43" t="s">
        <v>176</v>
      </c>
      <c r="B50" s="37" t="s">
        <v>44</v>
      </c>
    </row>
    <row r="51" spans="1:2" ht="14.25">
      <c r="A51" s="41" t="s">
        <v>177</v>
      </c>
      <c r="B51" s="37" t="s">
        <v>64</v>
      </c>
    </row>
    <row r="52" spans="1:2" ht="14.25">
      <c r="A52" s="41" t="s">
        <v>178</v>
      </c>
      <c r="B52" s="37" t="s">
        <v>173</v>
      </c>
    </row>
    <row r="53" spans="1:2">
      <c r="A53" s="38"/>
      <c r="B53" s="37"/>
    </row>
    <row r="54" spans="1:2">
      <c r="A54" s="38"/>
      <c r="B54" s="37"/>
    </row>
    <row r="55" spans="1:2">
      <c r="A55" s="38"/>
      <c r="B55" s="37"/>
    </row>
    <row r="56" spans="1:2">
      <c r="A56" s="38"/>
      <c r="B56" s="37"/>
    </row>
  </sheetData>
  <sheetProtection sheet="1" deleteColumns="0" deleteRows="0" sort="0"/>
  <mergeCells count="1">
    <mergeCell ref="C3:K3"/>
  </mergeCells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28"/>
  <sheetViews>
    <sheetView workbookViewId="0">
      <selection activeCell="D3" sqref="D3"/>
    </sheetView>
  </sheetViews>
  <sheetFormatPr defaultRowHeight="12.75"/>
  <cols>
    <col min="1" max="1" width="9.140625" style="4"/>
    <col min="2" max="7" width="9.140625" style="2"/>
    <col min="8" max="8" width="9.140625" style="3"/>
    <col min="9" max="14" width="9.140625" style="2"/>
    <col min="15" max="15" width="9.140625" style="4"/>
    <col min="16" max="17" width="9.140625" style="2"/>
    <col min="18" max="22" width="9.140625" style="4"/>
    <col min="24" max="24" width="9.140625" style="2"/>
  </cols>
  <sheetData>
    <row r="1" spans="1:36" ht="15.75" customHeight="1">
      <c r="A1" s="1" t="s">
        <v>185</v>
      </c>
    </row>
    <row r="2" spans="1:36" ht="15.75" customHeight="1">
      <c r="A2" s="1"/>
    </row>
    <row r="3" spans="1:36" ht="15.75" customHeight="1">
      <c r="A3" s="5" t="s">
        <v>1</v>
      </c>
      <c r="B3" s="6" t="s">
        <v>9</v>
      </c>
      <c r="C3" s="6" t="s">
        <v>111</v>
      </c>
      <c r="D3" s="7" t="s">
        <v>3</v>
      </c>
      <c r="E3" s="7" t="s">
        <v>186</v>
      </c>
      <c r="F3" s="5" t="s">
        <v>187</v>
      </c>
      <c r="G3" s="8" t="s">
        <v>188</v>
      </c>
      <c r="H3" s="7" t="s">
        <v>189</v>
      </c>
      <c r="I3" s="9" t="s">
        <v>2</v>
      </c>
      <c r="J3" s="9" t="s">
        <v>190</v>
      </c>
      <c r="K3" s="9" t="s">
        <v>191</v>
      </c>
      <c r="L3" s="6" t="s">
        <v>192</v>
      </c>
      <c r="M3" s="6" t="s">
        <v>193</v>
      </c>
      <c r="N3" s="9" t="s">
        <v>150</v>
      </c>
      <c r="O3" s="9" t="s">
        <v>151</v>
      </c>
      <c r="P3" s="9" t="s">
        <v>152</v>
      </c>
      <c r="Q3" s="9" t="s">
        <v>194</v>
      </c>
      <c r="R3" s="9" t="s">
        <v>154</v>
      </c>
      <c r="S3" s="9" t="s">
        <v>195</v>
      </c>
      <c r="T3" s="9" t="s">
        <v>155</v>
      </c>
      <c r="U3" s="10" t="s">
        <v>196</v>
      </c>
      <c r="V3" s="10" t="s">
        <v>197</v>
      </c>
      <c r="W3" s="11" t="s">
        <v>198</v>
      </c>
      <c r="X3" s="11" t="s">
        <v>199</v>
      </c>
      <c r="Y3" s="11" t="s">
        <v>200</v>
      </c>
      <c r="Z3" s="11" t="s">
        <v>201</v>
      </c>
      <c r="AA3" s="11" t="s">
        <v>202</v>
      </c>
      <c r="AB3" s="11" t="s">
        <v>203</v>
      </c>
      <c r="AC3" s="11" t="s">
        <v>204</v>
      </c>
      <c r="AD3" s="11" t="s">
        <v>205</v>
      </c>
      <c r="AE3" s="11" t="s">
        <v>206</v>
      </c>
      <c r="AF3" s="11" t="s">
        <v>207</v>
      </c>
      <c r="AG3" s="11" t="s">
        <v>22</v>
      </c>
      <c r="AH3" s="11" t="s">
        <v>23</v>
      </c>
      <c r="AI3" s="11" t="s">
        <v>24</v>
      </c>
      <c r="AJ3" s="11" t="s">
        <v>25</v>
      </c>
    </row>
    <row r="4" spans="1:36" ht="15.75" customHeight="1">
      <c r="H4" s="4"/>
      <c r="M4" s="3"/>
      <c r="O4" s="2"/>
      <c r="P4" s="4"/>
      <c r="Q4" s="4"/>
      <c r="R4" s="2"/>
      <c r="S4" s="2"/>
      <c r="T4" s="2"/>
      <c r="U4" s="2"/>
      <c r="W4" s="4"/>
      <c r="X4" s="4"/>
      <c r="Y4" s="4"/>
    </row>
    <row r="5" spans="1:36" ht="15.75" customHeight="1">
      <c r="A5" s="2">
        <v>0.01</v>
      </c>
      <c r="B5" s="4">
        <v>1.06</v>
      </c>
      <c r="C5" s="4">
        <v>3.45</v>
      </c>
      <c r="D5" s="4">
        <v>-2.1</v>
      </c>
      <c r="E5" s="4">
        <v>-0.5</v>
      </c>
      <c r="F5" s="4">
        <v>50</v>
      </c>
      <c r="G5" s="13">
        <v>3</v>
      </c>
      <c r="H5" s="13">
        <v>4</v>
      </c>
      <c r="I5" s="14">
        <v>-1.2686999999999999</v>
      </c>
      <c r="J5" s="14">
        <v>0.1</v>
      </c>
      <c r="K5" s="14">
        <v>-0.255</v>
      </c>
      <c r="L5" s="2">
        <v>2.996</v>
      </c>
      <c r="M5" s="14">
        <v>4.1840000000000002</v>
      </c>
      <c r="N5" s="14">
        <v>6.16</v>
      </c>
      <c r="O5" s="14">
        <v>0.48930000000000001</v>
      </c>
      <c r="P5" s="14">
        <v>5.1200000000000002E-2</v>
      </c>
      <c r="Q5" s="14">
        <v>8.5999999999999993E-2</v>
      </c>
      <c r="R5" s="14">
        <v>0.79</v>
      </c>
      <c r="S5" s="14">
        <v>1.5004999999999999</v>
      </c>
      <c r="T5" s="14">
        <v>-0.32179999999999997</v>
      </c>
      <c r="U5" s="47">
        <v>-8.0400000000000003E-3</v>
      </c>
      <c r="V5" s="47">
        <v>-7.8499999999999993E-3</v>
      </c>
      <c r="W5" s="14">
        <v>-0.44169999999999998</v>
      </c>
      <c r="X5" s="14">
        <v>-0.14169999999999999</v>
      </c>
      <c r="Y5" s="51">
        <v>-7.0099999999999997E-3</v>
      </c>
      <c r="Z5" s="51">
        <v>0.10215100000000001</v>
      </c>
      <c r="AA5" s="14">
        <v>0.22889999999999999</v>
      </c>
      <c r="AB5" s="51">
        <v>1.4996000000000001E-2</v>
      </c>
      <c r="AC5" s="13">
        <v>580</v>
      </c>
      <c r="AD5" s="14">
        <v>7.0000000000000007E-2</v>
      </c>
      <c r="AE5" s="14">
        <v>0.34370000000000001</v>
      </c>
      <c r="AF5" s="14">
        <v>0.26369999999999999</v>
      </c>
      <c r="AG5" s="14">
        <v>0.44579999999999997</v>
      </c>
      <c r="AH5" s="14">
        <v>0.34589999999999999</v>
      </c>
      <c r="AI5" s="14">
        <v>0.8</v>
      </c>
      <c r="AJ5" s="14">
        <v>6.6299999999999998E-2</v>
      </c>
    </row>
    <row r="6" spans="1:36" ht="15.75" customHeight="1">
      <c r="A6" s="2">
        <v>0.02</v>
      </c>
      <c r="B6" s="4">
        <v>1.06</v>
      </c>
      <c r="C6" s="4">
        <v>3.45</v>
      </c>
      <c r="D6" s="4">
        <v>-2.1</v>
      </c>
      <c r="E6" s="4">
        <v>-0.5</v>
      </c>
      <c r="F6" s="4">
        <v>50</v>
      </c>
      <c r="G6" s="13">
        <v>3</v>
      </c>
      <c r="H6" s="13">
        <v>4</v>
      </c>
      <c r="I6" s="14">
        <v>-1.2515000000000001</v>
      </c>
      <c r="J6" s="14">
        <v>0.1</v>
      </c>
      <c r="K6" s="14">
        <v>-0.255</v>
      </c>
      <c r="L6" s="2">
        <v>3.2919999999999998</v>
      </c>
      <c r="M6" s="14">
        <v>4.1879</v>
      </c>
      <c r="N6" s="14">
        <v>6.1580000000000004</v>
      </c>
      <c r="O6" s="14">
        <v>0.48920000000000002</v>
      </c>
      <c r="P6" s="14">
        <v>5.1200000000000002E-2</v>
      </c>
      <c r="Q6" s="14">
        <v>8.5999999999999993E-2</v>
      </c>
      <c r="R6" s="14">
        <v>0.81289999999999996</v>
      </c>
      <c r="S6" s="14">
        <v>1.5027999999999999</v>
      </c>
      <c r="T6" s="14">
        <v>-0.33229999999999998</v>
      </c>
      <c r="U6" s="47">
        <v>-8.1099999999999992E-3</v>
      </c>
      <c r="V6" s="47">
        <v>-7.92E-3</v>
      </c>
      <c r="W6" s="14">
        <v>-0.434</v>
      </c>
      <c r="X6" s="14">
        <v>-0.13639999999999999</v>
      </c>
      <c r="Y6" s="51">
        <v>-7.2789999999999999E-3</v>
      </c>
      <c r="Z6" s="51">
        <v>0.10836</v>
      </c>
      <c r="AA6" s="14">
        <v>0.22889999999999999</v>
      </c>
      <c r="AB6" s="51">
        <v>1.4996000000000001E-2</v>
      </c>
      <c r="AC6" s="13">
        <v>580</v>
      </c>
      <c r="AD6" s="14">
        <v>6.9900000000000004E-2</v>
      </c>
      <c r="AE6" s="14">
        <v>0.34710000000000002</v>
      </c>
      <c r="AF6" s="14">
        <v>0.2671</v>
      </c>
      <c r="AG6" s="14">
        <v>0.44579999999999997</v>
      </c>
      <c r="AH6" s="14">
        <v>0.34589999999999999</v>
      </c>
      <c r="AI6" s="14">
        <v>0.8</v>
      </c>
      <c r="AJ6" s="14">
        <v>6.6299999999999998E-2</v>
      </c>
    </row>
    <row r="7" spans="1:36" ht="15.75" customHeight="1">
      <c r="A7" s="2">
        <v>0.03</v>
      </c>
      <c r="B7" s="4">
        <v>1.06</v>
      </c>
      <c r="C7" s="4">
        <v>3.45</v>
      </c>
      <c r="D7" s="4">
        <v>-2.1</v>
      </c>
      <c r="E7" s="4">
        <v>-0.5</v>
      </c>
      <c r="F7" s="4">
        <v>50</v>
      </c>
      <c r="G7" s="13">
        <v>3</v>
      </c>
      <c r="H7" s="13">
        <v>4</v>
      </c>
      <c r="I7" s="14">
        <v>-1.1744000000000001</v>
      </c>
      <c r="J7" s="14">
        <v>0.1</v>
      </c>
      <c r="K7" s="14">
        <v>-0.255</v>
      </c>
      <c r="L7" s="2">
        <v>3.5139999999999998</v>
      </c>
      <c r="M7" s="14">
        <v>4.1555999999999997</v>
      </c>
      <c r="N7" s="14">
        <v>6.1550000000000002</v>
      </c>
      <c r="O7" s="14">
        <v>0.48899999999999999</v>
      </c>
      <c r="P7" s="14">
        <v>5.11E-2</v>
      </c>
      <c r="Q7" s="14">
        <v>8.5999999999999993E-2</v>
      </c>
      <c r="R7" s="14">
        <v>0.84389999999999998</v>
      </c>
      <c r="S7" s="14">
        <v>1.5071000000000001</v>
      </c>
      <c r="T7" s="14">
        <v>-0.33939999999999998</v>
      </c>
      <c r="U7" s="47">
        <v>-8.3899999999999999E-3</v>
      </c>
      <c r="V7" s="47">
        <v>-8.1899999999999994E-3</v>
      </c>
      <c r="W7" s="14">
        <v>-0.41770000000000002</v>
      </c>
      <c r="X7" s="14">
        <v>-0.14030000000000001</v>
      </c>
      <c r="Y7" s="51">
        <v>-7.3540000000000003E-3</v>
      </c>
      <c r="Z7" s="51">
        <v>0.11988799999999999</v>
      </c>
      <c r="AA7" s="14">
        <v>0.22889999999999999</v>
      </c>
      <c r="AB7" s="51">
        <v>1.4996000000000001E-2</v>
      </c>
      <c r="AC7" s="13">
        <v>580</v>
      </c>
      <c r="AD7" s="14">
        <v>7.0099999999999996E-2</v>
      </c>
      <c r="AE7" s="14">
        <v>0.36030000000000001</v>
      </c>
      <c r="AF7" s="14">
        <v>0.28029999999999999</v>
      </c>
      <c r="AG7" s="14">
        <v>0.45350000000000001</v>
      </c>
      <c r="AH7" s="14">
        <v>0.35370000000000001</v>
      </c>
      <c r="AI7" s="14">
        <v>0.8</v>
      </c>
      <c r="AJ7" s="14">
        <v>6.6299999999999998E-2</v>
      </c>
    </row>
    <row r="8" spans="1:36" ht="15.75" customHeight="1">
      <c r="A8" s="2">
        <v>0.04</v>
      </c>
      <c r="B8" s="4">
        <v>1.06</v>
      </c>
      <c r="C8" s="4">
        <v>3.45</v>
      </c>
      <c r="D8" s="4">
        <v>-2.1</v>
      </c>
      <c r="E8" s="4">
        <v>-0.5</v>
      </c>
      <c r="F8" s="4">
        <v>50</v>
      </c>
      <c r="G8" s="13">
        <v>3</v>
      </c>
      <c r="H8" s="13">
        <v>4</v>
      </c>
      <c r="I8" s="14">
        <v>-1.0670999999999999</v>
      </c>
      <c r="J8" s="14">
        <v>0.1</v>
      </c>
      <c r="K8" s="14">
        <v>-0.255</v>
      </c>
      <c r="L8" s="2">
        <v>3.5630000000000002</v>
      </c>
      <c r="M8" s="14">
        <v>4.1226000000000003</v>
      </c>
      <c r="N8" s="14">
        <v>6.1508000000000003</v>
      </c>
      <c r="O8" s="14">
        <v>0.48880000000000001</v>
      </c>
      <c r="P8" s="14">
        <v>5.0799999999999998E-2</v>
      </c>
      <c r="Q8" s="14">
        <v>8.5999999999999993E-2</v>
      </c>
      <c r="R8" s="14">
        <v>0.874</v>
      </c>
      <c r="S8" s="14">
        <v>1.5138</v>
      </c>
      <c r="T8" s="14">
        <v>-0.3453</v>
      </c>
      <c r="U8" s="47">
        <v>-8.7500000000000008E-3</v>
      </c>
      <c r="V8" s="47">
        <v>-8.5500000000000003E-3</v>
      </c>
      <c r="W8" s="14">
        <v>-0.4</v>
      </c>
      <c r="X8" s="14">
        <v>-0.15909999999999999</v>
      </c>
      <c r="Y8" s="51">
        <v>-6.9769999999999997E-3</v>
      </c>
      <c r="Z8" s="51">
        <v>0.13364100000000001</v>
      </c>
      <c r="AA8" s="14">
        <v>0.22889999999999999</v>
      </c>
      <c r="AB8" s="51">
        <v>1.4996000000000001E-2</v>
      </c>
      <c r="AC8" s="13">
        <v>579.9</v>
      </c>
      <c r="AD8" s="14">
        <v>7.0199999999999999E-2</v>
      </c>
      <c r="AE8" s="14">
        <v>0.37180000000000002</v>
      </c>
      <c r="AF8" s="14">
        <v>0.2918</v>
      </c>
      <c r="AG8" s="14">
        <v>0.45889999999999997</v>
      </c>
      <c r="AH8" s="14">
        <v>0.35920000000000002</v>
      </c>
      <c r="AI8" s="14">
        <v>0.8</v>
      </c>
      <c r="AJ8" s="14">
        <v>6.6299999999999998E-2</v>
      </c>
    </row>
    <row r="9" spans="1:36" ht="15.75" customHeight="1">
      <c r="A9" s="2">
        <v>0.05</v>
      </c>
      <c r="B9" s="4">
        <v>1.06</v>
      </c>
      <c r="C9" s="4">
        <v>3.45</v>
      </c>
      <c r="D9" s="4">
        <v>-2.1</v>
      </c>
      <c r="E9" s="4">
        <v>-0.5</v>
      </c>
      <c r="F9" s="4">
        <v>50</v>
      </c>
      <c r="G9" s="13">
        <v>3</v>
      </c>
      <c r="H9" s="13">
        <v>4</v>
      </c>
      <c r="I9" s="14">
        <v>-0.94640000000000002</v>
      </c>
      <c r="J9" s="14">
        <v>0.1</v>
      </c>
      <c r="K9" s="14">
        <v>-0.255</v>
      </c>
      <c r="L9" s="2">
        <v>3.5470000000000002</v>
      </c>
      <c r="M9" s="14">
        <v>4.1010999999999997</v>
      </c>
      <c r="N9" s="14">
        <v>6.1440999999999999</v>
      </c>
      <c r="O9" s="14">
        <v>0.4884</v>
      </c>
      <c r="P9" s="14">
        <v>5.04E-2</v>
      </c>
      <c r="Q9" s="14">
        <v>8.5999999999999993E-2</v>
      </c>
      <c r="R9" s="14">
        <v>0.89959999999999996</v>
      </c>
      <c r="S9" s="14">
        <v>1.5229999999999999</v>
      </c>
      <c r="T9" s="14">
        <v>-0.35020000000000001</v>
      </c>
      <c r="U9" s="47">
        <v>-9.1199999999999996E-3</v>
      </c>
      <c r="V9" s="47">
        <v>-8.9099999999999995E-3</v>
      </c>
      <c r="W9" s="14">
        <v>-0.39029999999999998</v>
      </c>
      <c r="X9" s="14">
        <v>-0.1862</v>
      </c>
      <c r="Y9" s="51">
        <v>-6.4669999999999997E-3</v>
      </c>
      <c r="Z9" s="51">
        <v>0.148927</v>
      </c>
      <c r="AA9" s="14">
        <v>0.22900000000000001</v>
      </c>
      <c r="AB9" s="51">
        <v>1.4996000000000001E-2</v>
      </c>
      <c r="AC9" s="13">
        <v>579.9</v>
      </c>
      <c r="AD9" s="14">
        <v>7.0099999999999996E-2</v>
      </c>
      <c r="AE9" s="14">
        <v>0.38479999999999998</v>
      </c>
      <c r="AF9" s="14">
        <v>0.30480000000000002</v>
      </c>
      <c r="AG9" s="14">
        <v>0.46300000000000002</v>
      </c>
      <c r="AH9" s="14">
        <v>0.36349999999999999</v>
      </c>
      <c r="AI9" s="14">
        <v>0.8</v>
      </c>
      <c r="AJ9" s="14">
        <v>6.6299999999999998E-2</v>
      </c>
    </row>
    <row r="10" spans="1:36" ht="15.75" customHeight="1">
      <c r="A10" s="2">
        <v>7.4999999999999997E-2</v>
      </c>
      <c r="B10" s="4">
        <v>1.06</v>
      </c>
      <c r="C10" s="4">
        <v>3.45</v>
      </c>
      <c r="D10" s="4">
        <v>-2.1</v>
      </c>
      <c r="E10" s="4">
        <v>-0.5</v>
      </c>
      <c r="F10" s="4">
        <v>50</v>
      </c>
      <c r="G10" s="13">
        <v>3</v>
      </c>
      <c r="H10" s="13">
        <v>4</v>
      </c>
      <c r="I10" s="14">
        <v>-0.70509999999999995</v>
      </c>
      <c r="J10" s="14">
        <v>0.1</v>
      </c>
      <c r="K10" s="14">
        <v>-0.254</v>
      </c>
      <c r="L10" s="2">
        <v>3.448</v>
      </c>
      <c r="M10" s="14">
        <v>4.0860000000000003</v>
      </c>
      <c r="N10" s="14">
        <v>6.12</v>
      </c>
      <c r="O10" s="14">
        <v>0.48720000000000002</v>
      </c>
      <c r="P10" s="14">
        <v>4.9500000000000002E-2</v>
      </c>
      <c r="Q10" s="14">
        <v>8.5999999999999993E-2</v>
      </c>
      <c r="R10" s="14">
        <v>0.94420000000000004</v>
      </c>
      <c r="S10" s="14">
        <v>1.5597000000000001</v>
      </c>
      <c r="T10" s="14">
        <v>-0.3579</v>
      </c>
      <c r="U10" s="47">
        <v>-9.7300000000000008E-3</v>
      </c>
      <c r="V10" s="47">
        <v>-9.4999999999999998E-3</v>
      </c>
      <c r="W10" s="14">
        <v>-0.40400000000000003</v>
      </c>
      <c r="X10" s="14">
        <v>-0.25380000000000003</v>
      </c>
      <c r="Y10" s="51">
        <v>-5.7340000000000004E-3</v>
      </c>
      <c r="Z10" s="51">
        <v>0.19059599999999999</v>
      </c>
      <c r="AA10" s="14">
        <v>0.22919999999999999</v>
      </c>
      <c r="AB10" s="51">
        <v>1.4996000000000001E-2</v>
      </c>
      <c r="AC10" s="13">
        <v>579.6</v>
      </c>
      <c r="AD10" s="14">
        <v>6.8599999999999994E-2</v>
      </c>
      <c r="AE10" s="14">
        <v>0.38779999999999998</v>
      </c>
      <c r="AF10" s="14">
        <v>0.31290000000000001</v>
      </c>
      <c r="AG10" s="14">
        <v>0.47020000000000001</v>
      </c>
      <c r="AH10" s="14">
        <v>0.37130000000000002</v>
      </c>
      <c r="AI10" s="14">
        <v>0.8</v>
      </c>
      <c r="AJ10" s="14">
        <v>6.6299999999999998E-2</v>
      </c>
    </row>
    <row r="11" spans="1:36" ht="15.75" customHeight="1">
      <c r="A11" s="3">
        <v>0.1</v>
      </c>
      <c r="B11" s="4">
        <v>1.06</v>
      </c>
      <c r="C11" s="4">
        <v>3.45</v>
      </c>
      <c r="D11" s="4">
        <v>-2.1</v>
      </c>
      <c r="E11" s="4">
        <v>-0.5</v>
      </c>
      <c r="F11" s="4">
        <v>50</v>
      </c>
      <c r="G11" s="13">
        <v>3</v>
      </c>
      <c r="H11" s="13">
        <v>4</v>
      </c>
      <c r="I11" s="14">
        <v>-0.57469999999999999</v>
      </c>
      <c r="J11" s="14">
        <v>0.1</v>
      </c>
      <c r="K11" s="14">
        <v>-0.253</v>
      </c>
      <c r="L11" s="2">
        <v>3.3119999999999998</v>
      </c>
      <c r="M11" s="14">
        <v>4.1029999999999998</v>
      </c>
      <c r="N11" s="14">
        <v>6.085</v>
      </c>
      <c r="O11" s="14">
        <v>0.4854</v>
      </c>
      <c r="P11" s="14">
        <v>4.8899999999999999E-2</v>
      </c>
      <c r="Q11" s="14">
        <v>8.5999999999999993E-2</v>
      </c>
      <c r="R11" s="14">
        <v>0.9677</v>
      </c>
      <c r="S11" s="14">
        <v>1.6104000000000001</v>
      </c>
      <c r="T11" s="14">
        <v>-0.3604</v>
      </c>
      <c r="U11" s="47">
        <v>-9.75E-3</v>
      </c>
      <c r="V11" s="47">
        <v>-9.5200000000000007E-3</v>
      </c>
      <c r="W11" s="14">
        <v>-0.44230000000000003</v>
      </c>
      <c r="X11" s="14">
        <v>-0.29430000000000001</v>
      </c>
      <c r="Y11" s="51">
        <v>-5.6039999999999996E-3</v>
      </c>
      <c r="Z11" s="51">
        <v>0.23066200000000001</v>
      </c>
      <c r="AA11" s="14">
        <v>0.22969999999999999</v>
      </c>
      <c r="AB11" s="51">
        <v>1.4996000000000001E-2</v>
      </c>
      <c r="AC11" s="13">
        <v>579.20000000000005</v>
      </c>
      <c r="AD11" s="14">
        <v>6.4600000000000005E-2</v>
      </c>
      <c r="AE11" s="14">
        <v>0.38350000000000001</v>
      </c>
      <c r="AF11" s="14">
        <v>0.31519999999999998</v>
      </c>
      <c r="AG11" s="14">
        <v>0.47470000000000001</v>
      </c>
      <c r="AH11" s="14">
        <v>0.37690000000000001</v>
      </c>
      <c r="AI11" s="14">
        <v>0.8</v>
      </c>
      <c r="AJ11" s="14">
        <v>6.6299999999999998E-2</v>
      </c>
    </row>
    <row r="12" spans="1:36" ht="15.75" customHeight="1">
      <c r="A12" s="3">
        <v>0.15</v>
      </c>
      <c r="B12" s="4">
        <v>1.06</v>
      </c>
      <c r="C12" s="4">
        <v>3.45</v>
      </c>
      <c r="D12" s="4">
        <v>-2.1</v>
      </c>
      <c r="E12" s="4">
        <v>-0.5</v>
      </c>
      <c r="F12" s="4">
        <v>50</v>
      </c>
      <c r="G12" s="13">
        <v>3</v>
      </c>
      <c r="H12" s="13">
        <v>4</v>
      </c>
      <c r="I12" s="14">
        <v>-0.53090000000000004</v>
      </c>
      <c r="J12" s="14">
        <v>0.1</v>
      </c>
      <c r="K12" s="14">
        <v>-0.25</v>
      </c>
      <c r="L12" s="2">
        <v>3.044</v>
      </c>
      <c r="M12" s="14">
        <v>4.1717000000000004</v>
      </c>
      <c r="N12" s="14">
        <v>5.9870999999999999</v>
      </c>
      <c r="O12" s="14">
        <v>0.48080000000000001</v>
      </c>
      <c r="P12" s="14">
        <v>4.7899999999999998E-2</v>
      </c>
      <c r="Q12" s="14">
        <v>8.5999999999999993E-2</v>
      </c>
      <c r="R12" s="14">
        <v>0.96599999999999997</v>
      </c>
      <c r="S12" s="14">
        <v>1.7548999999999999</v>
      </c>
      <c r="T12" s="14">
        <v>-0.35649999999999998</v>
      </c>
      <c r="U12" s="47">
        <v>-8.8299999999999993E-3</v>
      </c>
      <c r="V12" s="47">
        <v>-8.6199999999999992E-3</v>
      </c>
      <c r="W12" s="14">
        <v>-0.51619999999999999</v>
      </c>
      <c r="X12" s="14">
        <v>-0.31130000000000002</v>
      </c>
      <c r="Y12" s="51">
        <v>-5.8450000000000004E-3</v>
      </c>
      <c r="Z12" s="51">
        <v>0.26646799999999998</v>
      </c>
      <c r="AA12" s="14">
        <v>0.2326</v>
      </c>
      <c r="AB12" s="51">
        <v>1.4988E-2</v>
      </c>
      <c r="AC12" s="13">
        <v>577.20000000000005</v>
      </c>
      <c r="AD12" s="14">
        <v>4.9399999999999999E-2</v>
      </c>
      <c r="AE12" s="14">
        <v>0.37190000000000001</v>
      </c>
      <c r="AF12" s="14">
        <v>0.31280000000000002</v>
      </c>
      <c r="AG12" s="14">
        <v>0.4798</v>
      </c>
      <c r="AH12" s="14">
        <v>0.38469999999999999</v>
      </c>
      <c r="AI12" s="14">
        <v>0.8</v>
      </c>
      <c r="AJ12" s="14">
        <v>6.1199999999999997E-2</v>
      </c>
    </row>
    <row r="13" spans="1:36" ht="15.75" customHeight="1">
      <c r="A13" s="3">
        <v>0.2</v>
      </c>
      <c r="B13" s="4">
        <v>1.06</v>
      </c>
      <c r="C13" s="4">
        <v>3.45</v>
      </c>
      <c r="D13" s="4">
        <v>-2.1</v>
      </c>
      <c r="E13" s="4">
        <v>-0.5</v>
      </c>
      <c r="F13" s="4">
        <v>50</v>
      </c>
      <c r="G13" s="13">
        <v>3</v>
      </c>
      <c r="H13" s="13">
        <v>4</v>
      </c>
      <c r="I13" s="14">
        <v>-0.63519999999999999</v>
      </c>
      <c r="J13" s="14">
        <v>0.1</v>
      </c>
      <c r="K13" s="14">
        <v>-0.24490000000000001</v>
      </c>
      <c r="L13" s="2">
        <v>2.831</v>
      </c>
      <c r="M13" s="14">
        <v>4.2476000000000003</v>
      </c>
      <c r="N13" s="14">
        <v>5.8699000000000003</v>
      </c>
      <c r="O13" s="14">
        <v>0.47549999999999998</v>
      </c>
      <c r="P13" s="14">
        <v>4.7100000000000003E-2</v>
      </c>
      <c r="Q13" s="14">
        <v>8.5999999999999993E-2</v>
      </c>
      <c r="R13" s="14">
        <v>0.93340000000000001</v>
      </c>
      <c r="S13" s="14">
        <v>1.9157</v>
      </c>
      <c r="T13" s="14">
        <v>-0.34699999999999998</v>
      </c>
      <c r="U13" s="47">
        <v>-7.7799999999999996E-3</v>
      </c>
      <c r="V13" s="47">
        <v>-7.5900000000000004E-3</v>
      </c>
      <c r="W13" s="14">
        <v>-0.56969999999999998</v>
      </c>
      <c r="X13" s="14">
        <v>-0.29270000000000002</v>
      </c>
      <c r="Y13" s="51">
        <v>-6.1409999999999998E-3</v>
      </c>
      <c r="Z13" s="51">
        <v>0.25525300000000001</v>
      </c>
      <c r="AA13" s="14">
        <v>0.23860000000000001</v>
      </c>
      <c r="AB13" s="51">
        <v>1.4964E-2</v>
      </c>
      <c r="AC13" s="13">
        <v>573.9</v>
      </c>
      <c r="AD13" s="14">
        <v>-1.9E-3</v>
      </c>
      <c r="AE13" s="14">
        <v>0.36009999999999998</v>
      </c>
      <c r="AF13" s="14">
        <v>0.30759999999999998</v>
      </c>
      <c r="AG13" s="14">
        <v>0.48159999999999997</v>
      </c>
      <c r="AH13" s="14">
        <v>0.39019999999999999</v>
      </c>
      <c r="AI13" s="14">
        <v>0.8</v>
      </c>
      <c r="AJ13" s="14">
        <v>5.2999999999999999E-2</v>
      </c>
    </row>
    <row r="14" spans="1:36" ht="15.75" customHeight="1">
      <c r="A14" s="3">
        <v>0.25</v>
      </c>
      <c r="B14" s="4">
        <v>1.06</v>
      </c>
      <c r="C14" s="4">
        <v>3.45</v>
      </c>
      <c r="D14" s="4">
        <v>-2.1</v>
      </c>
      <c r="E14" s="4">
        <v>-0.5</v>
      </c>
      <c r="F14" s="4">
        <v>50</v>
      </c>
      <c r="G14" s="13">
        <v>3</v>
      </c>
      <c r="H14" s="13">
        <v>4</v>
      </c>
      <c r="I14" s="14">
        <v>-0.77659999999999996</v>
      </c>
      <c r="J14" s="14">
        <v>0.1</v>
      </c>
      <c r="K14" s="14">
        <v>-0.2382</v>
      </c>
      <c r="L14" s="2">
        <v>2.6579999999999999</v>
      </c>
      <c r="M14" s="14">
        <v>4.3183999999999996</v>
      </c>
      <c r="N14" s="14">
        <v>5.7546999999999997</v>
      </c>
      <c r="O14" s="14">
        <v>0.47060000000000002</v>
      </c>
      <c r="P14" s="14">
        <v>4.6399999999999997E-2</v>
      </c>
      <c r="Q14" s="14">
        <v>8.5999999999999993E-2</v>
      </c>
      <c r="R14" s="14">
        <v>0.89459999999999995</v>
      </c>
      <c r="S14" s="14">
        <v>2.0709</v>
      </c>
      <c r="T14" s="14">
        <v>-0.33789999999999998</v>
      </c>
      <c r="U14" s="47">
        <v>-6.8799999999999998E-3</v>
      </c>
      <c r="V14" s="47">
        <v>-6.7099999999999998E-3</v>
      </c>
      <c r="W14" s="14">
        <v>-0.6109</v>
      </c>
      <c r="X14" s="14">
        <v>-0.26619999999999999</v>
      </c>
      <c r="Y14" s="51">
        <v>-6.4390000000000003E-3</v>
      </c>
      <c r="Z14" s="51">
        <v>0.231541</v>
      </c>
      <c r="AA14" s="14">
        <v>0.24970000000000001</v>
      </c>
      <c r="AB14" s="51">
        <v>1.4881E-2</v>
      </c>
      <c r="AC14" s="13">
        <v>568.5</v>
      </c>
      <c r="AD14" s="14">
        <v>-4.7899999999999998E-2</v>
      </c>
      <c r="AE14" s="14">
        <v>0.35220000000000001</v>
      </c>
      <c r="AF14" s="14">
        <v>0.30470000000000003</v>
      </c>
      <c r="AG14" s="14">
        <v>0.48149999999999998</v>
      </c>
      <c r="AH14" s="14">
        <v>0.39460000000000001</v>
      </c>
      <c r="AI14" s="14">
        <v>0.79990000000000006</v>
      </c>
      <c r="AJ14" s="14">
        <v>4.5699999999999998E-2</v>
      </c>
    </row>
    <row r="15" spans="1:36" ht="15.75" customHeight="1">
      <c r="A15" s="3">
        <v>0.3</v>
      </c>
      <c r="B15" s="4">
        <v>1.06</v>
      </c>
      <c r="C15" s="4">
        <v>3.45</v>
      </c>
      <c r="D15" s="4">
        <v>-2.1</v>
      </c>
      <c r="E15" s="4">
        <v>-0.5</v>
      </c>
      <c r="F15" s="4">
        <v>50</v>
      </c>
      <c r="G15" s="13">
        <v>3</v>
      </c>
      <c r="H15" s="13">
        <v>4</v>
      </c>
      <c r="I15" s="14">
        <v>-0.92779999999999996</v>
      </c>
      <c r="J15" s="14">
        <v>9.9900000000000003E-2</v>
      </c>
      <c r="K15" s="14">
        <v>-0.23130000000000001</v>
      </c>
      <c r="L15" s="2">
        <v>2.5049999999999999</v>
      </c>
      <c r="M15" s="14">
        <v>4.3844000000000003</v>
      </c>
      <c r="N15" s="14">
        <v>5.6527000000000003</v>
      </c>
      <c r="O15" s="14">
        <v>0.46650000000000003</v>
      </c>
      <c r="P15" s="14">
        <v>4.58E-2</v>
      </c>
      <c r="Q15" s="14">
        <v>8.5999999999999993E-2</v>
      </c>
      <c r="R15" s="14">
        <v>0.85899999999999999</v>
      </c>
      <c r="S15" s="14">
        <v>2.2004999999999999</v>
      </c>
      <c r="T15" s="14">
        <v>-0.33139999999999997</v>
      </c>
      <c r="U15" s="47">
        <v>-6.1199999999999996E-3</v>
      </c>
      <c r="V15" s="47">
        <v>-5.9800000000000001E-3</v>
      </c>
      <c r="W15" s="14">
        <v>-0.64439999999999997</v>
      </c>
      <c r="X15" s="14">
        <v>-0.24049999999999999</v>
      </c>
      <c r="Y15" s="51">
        <v>-6.7039999999999999E-3</v>
      </c>
      <c r="Z15" s="51">
        <v>0.20727699999999999</v>
      </c>
      <c r="AA15" s="14">
        <v>0.26740000000000003</v>
      </c>
      <c r="AB15" s="51">
        <v>1.4638999999999999E-2</v>
      </c>
      <c r="AC15" s="13">
        <v>560.5</v>
      </c>
      <c r="AD15" s="14">
        <v>-7.5600000000000001E-2</v>
      </c>
      <c r="AE15" s="14">
        <v>0.34379999999999999</v>
      </c>
      <c r="AF15" s="14">
        <v>0.30049999999999999</v>
      </c>
      <c r="AG15" s="14">
        <v>0.48010000000000003</v>
      </c>
      <c r="AH15" s="14">
        <v>0.39810000000000001</v>
      </c>
      <c r="AI15" s="14">
        <v>0.79969999999999997</v>
      </c>
      <c r="AJ15" s="14">
        <v>3.9800000000000002E-2</v>
      </c>
    </row>
    <row r="16" spans="1:36" ht="15.75" customHeight="1">
      <c r="A16" s="3">
        <v>0.4</v>
      </c>
      <c r="B16" s="4">
        <v>1.06</v>
      </c>
      <c r="C16" s="4">
        <v>3.45</v>
      </c>
      <c r="D16" s="4">
        <v>-2.1</v>
      </c>
      <c r="E16" s="4">
        <v>-0.5</v>
      </c>
      <c r="F16" s="4">
        <v>50</v>
      </c>
      <c r="G16" s="13">
        <v>3</v>
      </c>
      <c r="H16" s="13">
        <v>4</v>
      </c>
      <c r="I16" s="14">
        <v>-1.2176</v>
      </c>
      <c r="J16" s="14">
        <v>9.9699999999999997E-2</v>
      </c>
      <c r="K16" s="14">
        <v>-0.21460000000000001</v>
      </c>
      <c r="L16" s="2">
        <v>2.2610000000000001</v>
      </c>
      <c r="M16" s="14">
        <v>4.4978999999999996</v>
      </c>
      <c r="N16" s="14">
        <v>5.4996999999999998</v>
      </c>
      <c r="O16" s="14">
        <v>0.4607</v>
      </c>
      <c r="P16" s="14">
        <v>4.4499999999999998E-2</v>
      </c>
      <c r="Q16" s="14">
        <v>8.5000000000000006E-2</v>
      </c>
      <c r="R16" s="14">
        <v>0.80189999999999995</v>
      </c>
      <c r="S16" s="14">
        <v>2.3885999999999998</v>
      </c>
      <c r="T16" s="14">
        <v>-0.3256</v>
      </c>
      <c r="U16" s="47">
        <v>-4.9800000000000001E-3</v>
      </c>
      <c r="V16" s="47">
        <v>-4.8599999999999997E-3</v>
      </c>
      <c r="W16" s="14">
        <v>-0.69310000000000005</v>
      </c>
      <c r="X16" s="14">
        <v>-0.19750000000000001</v>
      </c>
      <c r="Y16" s="51">
        <v>-7.1250000000000003E-3</v>
      </c>
      <c r="Z16" s="51">
        <v>0.165464</v>
      </c>
      <c r="AA16" s="14">
        <v>0.312</v>
      </c>
      <c r="AB16" s="51">
        <v>1.3493E-2</v>
      </c>
      <c r="AC16" s="13">
        <v>540</v>
      </c>
      <c r="AD16" s="14">
        <v>-9.6000000000000002E-2</v>
      </c>
      <c r="AE16" s="14">
        <v>0.33510000000000001</v>
      </c>
      <c r="AF16" s="14">
        <v>0.2984</v>
      </c>
      <c r="AG16" s="14">
        <v>0.4758</v>
      </c>
      <c r="AH16" s="14">
        <v>0.40360000000000001</v>
      </c>
      <c r="AI16" s="14">
        <v>0.79879999999999995</v>
      </c>
      <c r="AJ16" s="14">
        <v>3.1199999999999999E-2</v>
      </c>
    </row>
    <row r="17" spans="1:36" ht="15.75" customHeight="1">
      <c r="A17" s="3">
        <v>0.5</v>
      </c>
      <c r="B17" s="4">
        <v>1.06</v>
      </c>
      <c r="C17" s="4">
        <v>3.45</v>
      </c>
      <c r="D17" s="4">
        <v>-2.1</v>
      </c>
      <c r="E17" s="4">
        <v>-0.5</v>
      </c>
      <c r="F17" s="4">
        <v>50</v>
      </c>
      <c r="G17" s="13">
        <v>3</v>
      </c>
      <c r="H17" s="13">
        <v>4</v>
      </c>
      <c r="I17" s="14">
        <v>-1.4695</v>
      </c>
      <c r="J17" s="14">
        <v>9.9099999999999994E-2</v>
      </c>
      <c r="K17" s="14">
        <v>-0.19719999999999999</v>
      </c>
      <c r="L17" s="2">
        <v>2.0870000000000002</v>
      </c>
      <c r="M17" s="14">
        <v>4.5880999999999998</v>
      </c>
      <c r="N17" s="14">
        <v>5.4028999999999998</v>
      </c>
      <c r="O17" s="14">
        <v>0.45710000000000001</v>
      </c>
      <c r="P17" s="14">
        <v>4.2900000000000001E-2</v>
      </c>
      <c r="Q17" s="14">
        <v>8.3000000000000004E-2</v>
      </c>
      <c r="R17" s="14">
        <v>0.75780000000000003</v>
      </c>
      <c r="S17" s="14">
        <v>2.5</v>
      </c>
      <c r="T17" s="14">
        <v>-0.31890000000000002</v>
      </c>
      <c r="U17" s="47">
        <v>-4.1999999999999997E-3</v>
      </c>
      <c r="V17" s="47">
        <v>-4.1000000000000003E-3</v>
      </c>
      <c r="W17" s="14">
        <v>-0.72460000000000002</v>
      </c>
      <c r="X17" s="14">
        <v>-0.1633</v>
      </c>
      <c r="Y17" s="51">
        <v>-7.4349999999999998E-3</v>
      </c>
      <c r="Z17" s="51">
        <v>0.133828</v>
      </c>
      <c r="AA17" s="14">
        <v>0.36099999999999999</v>
      </c>
      <c r="AB17" s="51">
        <v>1.1133000000000001E-2</v>
      </c>
      <c r="AC17" s="13">
        <v>512.9</v>
      </c>
      <c r="AD17" s="14">
        <v>-9.98E-2</v>
      </c>
      <c r="AE17" s="14">
        <v>0.33529999999999999</v>
      </c>
      <c r="AF17" s="14">
        <v>0.30359999999999998</v>
      </c>
      <c r="AG17" s="14">
        <v>0.47099999999999997</v>
      </c>
      <c r="AH17" s="14">
        <v>0.40789999999999998</v>
      </c>
      <c r="AI17" s="14">
        <v>0.79659999999999997</v>
      </c>
      <c r="AJ17" s="14">
        <v>2.5499999999999998E-2</v>
      </c>
    </row>
    <row r="18" spans="1:36" ht="15.75" customHeight="1">
      <c r="A18" s="3">
        <v>0.75</v>
      </c>
      <c r="B18" s="4">
        <v>1.06</v>
      </c>
      <c r="C18" s="4">
        <v>3.45</v>
      </c>
      <c r="D18" s="4">
        <v>-2.1</v>
      </c>
      <c r="E18" s="4">
        <v>-0.5</v>
      </c>
      <c r="F18" s="4">
        <v>50</v>
      </c>
      <c r="G18" s="13">
        <v>3</v>
      </c>
      <c r="H18" s="13">
        <v>4</v>
      </c>
      <c r="I18" s="14">
        <v>-1.9278</v>
      </c>
      <c r="J18" s="14">
        <v>9.3600000000000003E-2</v>
      </c>
      <c r="K18" s="14">
        <v>-0.16200000000000001</v>
      </c>
      <c r="L18" s="2">
        <v>1.8120000000000001</v>
      </c>
      <c r="M18" s="14">
        <v>4.7571000000000003</v>
      </c>
      <c r="N18" s="14">
        <v>5.29</v>
      </c>
      <c r="O18" s="14">
        <v>0.4531</v>
      </c>
      <c r="P18" s="14">
        <v>3.8699999999999998E-2</v>
      </c>
      <c r="Q18" s="14">
        <v>6.9000000000000006E-2</v>
      </c>
      <c r="R18" s="14">
        <v>0.67879999999999996</v>
      </c>
      <c r="S18" s="14">
        <v>2.6223999999999998</v>
      </c>
      <c r="T18" s="14">
        <v>-0.2702</v>
      </c>
      <c r="U18" s="47">
        <v>-3.0799999999999998E-3</v>
      </c>
      <c r="V18" s="47">
        <v>-3.0100000000000001E-3</v>
      </c>
      <c r="W18" s="14">
        <v>-0.77080000000000004</v>
      </c>
      <c r="X18" s="14">
        <v>-0.1028</v>
      </c>
      <c r="Y18" s="51">
        <v>-8.1200000000000005E-3</v>
      </c>
      <c r="Z18" s="51">
        <v>8.5153000000000006E-2</v>
      </c>
      <c r="AA18" s="14">
        <v>0.43530000000000002</v>
      </c>
      <c r="AB18" s="51">
        <v>6.7390000000000002E-3</v>
      </c>
      <c r="AC18" s="13">
        <v>441.9</v>
      </c>
      <c r="AD18" s="14">
        <v>-7.6499999999999999E-2</v>
      </c>
      <c r="AE18" s="14">
        <v>0.34289999999999998</v>
      </c>
      <c r="AF18" s="14">
        <v>0.32050000000000001</v>
      </c>
      <c r="AG18" s="14">
        <v>0.46210000000000001</v>
      </c>
      <c r="AH18" s="14">
        <v>0.41570000000000001</v>
      </c>
      <c r="AI18" s="14">
        <v>0.7792</v>
      </c>
      <c r="AJ18" s="14">
        <v>1.7500000000000002E-2</v>
      </c>
    </row>
    <row r="19" spans="1:36" ht="15.75" customHeight="1">
      <c r="A19" s="13">
        <v>1</v>
      </c>
      <c r="B19" s="4">
        <v>1.06</v>
      </c>
      <c r="C19" s="4">
        <v>3.45</v>
      </c>
      <c r="D19" s="4">
        <v>-2.1</v>
      </c>
      <c r="E19" s="4">
        <v>-0.5</v>
      </c>
      <c r="F19" s="4">
        <v>50</v>
      </c>
      <c r="G19" s="13">
        <v>3</v>
      </c>
      <c r="H19" s="13">
        <v>4</v>
      </c>
      <c r="I19" s="14">
        <v>-2.2452999999999999</v>
      </c>
      <c r="J19" s="14">
        <v>7.6600000000000001E-2</v>
      </c>
      <c r="K19" s="14">
        <v>-0.14000000000000001</v>
      </c>
      <c r="L19" s="2">
        <v>1.6479999999999999</v>
      </c>
      <c r="M19" s="14">
        <v>4.8819999999999997</v>
      </c>
      <c r="N19" s="14">
        <v>5.2480000000000002</v>
      </c>
      <c r="O19" s="14">
        <v>0.45169999999999999</v>
      </c>
      <c r="P19" s="14">
        <v>3.5000000000000003E-2</v>
      </c>
      <c r="Q19" s="14">
        <v>4.4999999999999998E-2</v>
      </c>
      <c r="R19" s="14">
        <v>0.61960000000000004</v>
      </c>
      <c r="S19" s="14">
        <v>2.669</v>
      </c>
      <c r="T19" s="14">
        <v>-0.2059</v>
      </c>
      <c r="U19" s="47">
        <v>-2.4599999999999999E-3</v>
      </c>
      <c r="V19" s="47">
        <v>-2.4099999999999998E-3</v>
      </c>
      <c r="W19" s="14">
        <v>-0.79900000000000004</v>
      </c>
      <c r="X19" s="14">
        <v>-6.9900000000000004E-2</v>
      </c>
      <c r="Y19" s="51">
        <v>-8.4440000000000001E-3</v>
      </c>
      <c r="Z19" s="51">
        <v>5.8595000000000001E-2</v>
      </c>
      <c r="AA19" s="14">
        <v>0.46289999999999998</v>
      </c>
      <c r="AB19" s="51">
        <v>5.7489999999999998E-3</v>
      </c>
      <c r="AC19" s="13">
        <v>391.8</v>
      </c>
      <c r="AD19" s="14">
        <v>-4.1200000000000001E-2</v>
      </c>
      <c r="AE19" s="14">
        <v>0.35770000000000002</v>
      </c>
      <c r="AF19" s="14">
        <v>0.34189999999999998</v>
      </c>
      <c r="AG19" s="14">
        <v>0.45810000000000001</v>
      </c>
      <c r="AH19" s="14">
        <v>0.42130000000000001</v>
      </c>
      <c r="AI19" s="14">
        <v>0.75039999999999996</v>
      </c>
      <c r="AJ19" s="14">
        <v>1.3299999999999999E-2</v>
      </c>
    </row>
    <row r="20" spans="1:36" ht="15.75" customHeight="1">
      <c r="A20" s="13">
        <v>1.5</v>
      </c>
      <c r="B20" s="4">
        <v>1.06</v>
      </c>
      <c r="C20" s="4">
        <v>3.45</v>
      </c>
      <c r="D20" s="4">
        <v>-2.1</v>
      </c>
      <c r="E20" s="4">
        <v>-0.5</v>
      </c>
      <c r="F20" s="4">
        <v>50</v>
      </c>
      <c r="G20" s="13">
        <v>3</v>
      </c>
      <c r="H20" s="13">
        <v>4</v>
      </c>
      <c r="I20" s="14">
        <v>-2.7307000000000001</v>
      </c>
      <c r="J20" s="14">
        <v>2.2000000000000001E-3</v>
      </c>
      <c r="K20" s="14">
        <v>-0.11840000000000001</v>
      </c>
      <c r="L20" s="2">
        <v>1.5109999999999999</v>
      </c>
      <c r="M20" s="14">
        <v>5.0697000000000001</v>
      </c>
      <c r="N20" s="14">
        <v>5.2194000000000003</v>
      </c>
      <c r="O20" s="14">
        <v>0.45069999999999999</v>
      </c>
      <c r="P20" s="14">
        <v>2.8000000000000001E-2</v>
      </c>
      <c r="Q20" s="14">
        <v>1.34E-2</v>
      </c>
      <c r="R20" s="14">
        <v>0.5101</v>
      </c>
      <c r="S20" s="14">
        <v>2.6985000000000001</v>
      </c>
      <c r="T20" s="14">
        <v>-8.5199999999999998E-2</v>
      </c>
      <c r="U20" s="47">
        <v>-1.8E-3</v>
      </c>
      <c r="V20" s="47">
        <v>-1.7600000000000001E-3</v>
      </c>
      <c r="W20" s="14">
        <v>-0.83819999999999995</v>
      </c>
      <c r="X20" s="14">
        <v>-4.2500000000000003E-2</v>
      </c>
      <c r="Y20" s="51">
        <v>-7.7070000000000003E-3</v>
      </c>
      <c r="Z20" s="51">
        <v>3.1787000000000003E-2</v>
      </c>
      <c r="AA20" s="14">
        <v>0.47560000000000002</v>
      </c>
      <c r="AB20" s="51">
        <v>5.5440000000000003E-3</v>
      </c>
      <c r="AC20" s="13">
        <v>348.1</v>
      </c>
      <c r="AD20" s="14">
        <v>1.4E-2</v>
      </c>
      <c r="AE20" s="14">
        <v>0.37690000000000001</v>
      </c>
      <c r="AF20" s="14">
        <v>0.37030000000000002</v>
      </c>
      <c r="AG20" s="14">
        <v>0.44929999999999998</v>
      </c>
      <c r="AH20" s="14">
        <v>0.42130000000000001</v>
      </c>
      <c r="AI20" s="14">
        <v>0.71360000000000001</v>
      </c>
      <c r="AJ20" s="14">
        <v>8.9999999999999993E-3</v>
      </c>
    </row>
    <row r="21" spans="1:36" ht="15.75" customHeight="1">
      <c r="A21" s="13">
        <v>2</v>
      </c>
      <c r="B21" s="4">
        <v>1.06</v>
      </c>
      <c r="C21" s="4">
        <v>3.45</v>
      </c>
      <c r="D21" s="4">
        <v>-2.1</v>
      </c>
      <c r="E21" s="4">
        <v>-0.5</v>
      </c>
      <c r="F21" s="4">
        <v>50</v>
      </c>
      <c r="G21" s="13">
        <v>3</v>
      </c>
      <c r="H21" s="13">
        <v>4</v>
      </c>
      <c r="I21" s="14">
        <v>-3.1413000000000002</v>
      </c>
      <c r="J21" s="14">
        <v>-5.91E-2</v>
      </c>
      <c r="K21" s="14">
        <v>-0.11</v>
      </c>
      <c r="L21" s="2">
        <v>1.47</v>
      </c>
      <c r="M21" s="14">
        <v>5.2172999999999998</v>
      </c>
      <c r="N21" s="14">
        <v>5.2099000000000002</v>
      </c>
      <c r="O21" s="14">
        <v>0.45040000000000002</v>
      </c>
      <c r="P21" s="14">
        <v>2.1299999999999999E-2</v>
      </c>
      <c r="Q21" s="14">
        <v>4.0000000000000001E-3</v>
      </c>
      <c r="R21" s="14">
        <v>0.39169999999999999</v>
      </c>
      <c r="S21" s="14">
        <v>2.7084999999999999</v>
      </c>
      <c r="T21" s="14">
        <v>1.6E-2</v>
      </c>
      <c r="U21" s="47">
        <v>-1.47E-3</v>
      </c>
      <c r="V21" s="47">
        <v>-1.4300000000000001E-3</v>
      </c>
      <c r="W21" s="14">
        <v>-0.86629999999999996</v>
      </c>
      <c r="X21" s="14">
        <v>-3.0200000000000001E-2</v>
      </c>
      <c r="Y21" s="51">
        <v>-4.7920000000000003E-3</v>
      </c>
      <c r="Z21" s="51">
        <v>1.9716000000000001E-2</v>
      </c>
      <c r="AA21" s="14">
        <v>0.47849999999999998</v>
      </c>
      <c r="AB21" s="51">
        <v>5.5209999999999999E-3</v>
      </c>
      <c r="AC21" s="13">
        <v>332.5</v>
      </c>
      <c r="AD21" s="14">
        <v>5.4399999999999997E-2</v>
      </c>
      <c r="AE21" s="14">
        <v>0.40229999999999999</v>
      </c>
      <c r="AF21" s="14">
        <v>0.40229999999999999</v>
      </c>
      <c r="AG21" s="14">
        <v>0.44590000000000002</v>
      </c>
      <c r="AH21" s="14">
        <v>0.42130000000000001</v>
      </c>
      <c r="AI21" s="14">
        <v>0.70350000000000001</v>
      </c>
      <c r="AJ21" s="14">
        <v>6.7999999999999996E-3</v>
      </c>
    </row>
    <row r="22" spans="1:36" ht="15.75" customHeight="1">
      <c r="A22" s="13">
        <v>3</v>
      </c>
      <c r="B22" s="4">
        <v>1.06</v>
      </c>
      <c r="C22" s="4">
        <v>3.45</v>
      </c>
      <c r="D22" s="4">
        <v>-2.1</v>
      </c>
      <c r="E22" s="4">
        <v>-0.5</v>
      </c>
      <c r="F22" s="4">
        <v>50</v>
      </c>
      <c r="G22" s="13">
        <v>3</v>
      </c>
      <c r="H22" s="13">
        <v>4</v>
      </c>
      <c r="I22" s="14">
        <v>-3.7412999999999998</v>
      </c>
      <c r="J22" s="14">
        <v>-9.3100000000000002E-2</v>
      </c>
      <c r="K22" s="14">
        <v>-0.104</v>
      </c>
      <c r="L22" s="2">
        <v>1.456</v>
      </c>
      <c r="M22" s="14">
        <v>5.4385000000000003</v>
      </c>
      <c r="N22" s="14">
        <v>5.2039999999999997</v>
      </c>
      <c r="O22" s="14">
        <v>0.4501</v>
      </c>
      <c r="P22" s="14">
        <v>1.06E-2</v>
      </c>
      <c r="Q22" s="14">
        <v>1E-3</v>
      </c>
      <c r="R22" s="14">
        <v>0.1244</v>
      </c>
      <c r="S22" s="14">
        <v>2.7145000000000001</v>
      </c>
      <c r="T22" s="14">
        <v>0.18759999999999999</v>
      </c>
      <c r="U22" s="47">
        <v>-1.17E-3</v>
      </c>
      <c r="V22" s="47">
        <v>-1.15E-3</v>
      </c>
      <c r="W22" s="14">
        <v>-0.9032</v>
      </c>
      <c r="X22" s="14">
        <v>-1.29E-2</v>
      </c>
      <c r="Y22" s="51">
        <v>-1.828E-3</v>
      </c>
      <c r="Z22" s="51">
        <v>9.6430000000000005E-3</v>
      </c>
      <c r="AA22" s="14">
        <v>0.47960000000000003</v>
      </c>
      <c r="AB22" s="51">
        <v>5.5170000000000002E-3</v>
      </c>
      <c r="AC22" s="13">
        <v>324.10000000000002</v>
      </c>
      <c r="AD22" s="14">
        <v>0.1232</v>
      </c>
      <c r="AE22" s="14">
        <v>0.44059999999999999</v>
      </c>
      <c r="AF22" s="14">
        <v>0.44059999999999999</v>
      </c>
      <c r="AG22" s="14">
        <v>0.44330000000000003</v>
      </c>
      <c r="AH22" s="14">
        <v>0.42130000000000001</v>
      </c>
      <c r="AI22" s="14">
        <v>0.7006</v>
      </c>
      <c r="AJ22" s="14">
        <v>4.4999999999999997E-3</v>
      </c>
    </row>
    <row r="23" spans="1:36" ht="15.75" customHeight="1">
      <c r="A23" s="13">
        <v>4</v>
      </c>
      <c r="B23" s="4">
        <v>1.06</v>
      </c>
      <c r="C23" s="4">
        <v>3.45</v>
      </c>
      <c r="D23" s="4">
        <v>-2.1</v>
      </c>
      <c r="E23" s="4">
        <v>-0.5</v>
      </c>
      <c r="F23" s="4">
        <v>50</v>
      </c>
      <c r="G23" s="13">
        <v>3</v>
      </c>
      <c r="H23" s="13">
        <v>4</v>
      </c>
      <c r="I23" s="14">
        <v>-4.1814</v>
      </c>
      <c r="J23" s="14">
        <v>-9.8199999999999996E-2</v>
      </c>
      <c r="K23" s="14">
        <v>-0.10199999999999999</v>
      </c>
      <c r="L23" s="2">
        <v>1.4650000000000001</v>
      </c>
      <c r="M23" s="14">
        <v>5.5976999999999997</v>
      </c>
      <c r="N23" s="14">
        <v>5.202</v>
      </c>
      <c r="O23" s="14">
        <v>0.4501</v>
      </c>
      <c r="P23" s="14">
        <v>4.1000000000000003E-3</v>
      </c>
      <c r="Q23" s="14">
        <v>0</v>
      </c>
      <c r="R23" s="14">
        <v>8.6E-3</v>
      </c>
      <c r="S23" s="14">
        <v>2.7164000000000001</v>
      </c>
      <c r="T23" s="14">
        <v>0.33779999999999999</v>
      </c>
      <c r="U23" s="47">
        <v>-1.07E-3</v>
      </c>
      <c r="V23" s="47">
        <v>-1.0399999999999999E-3</v>
      </c>
      <c r="W23" s="14">
        <v>-0.92310000000000003</v>
      </c>
      <c r="X23" s="14">
        <v>-1.6000000000000001E-3</v>
      </c>
      <c r="Y23" s="51">
        <v>-1.523E-3</v>
      </c>
      <c r="Z23" s="51">
        <v>5.3790000000000001E-3</v>
      </c>
      <c r="AA23" s="14">
        <v>0.47989999999999999</v>
      </c>
      <c r="AB23" s="51">
        <v>5.5170000000000002E-3</v>
      </c>
      <c r="AC23" s="13">
        <v>321.7</v>
      </c>
      <c r="AD23" s="14">
        <v>0.18590000000000001</v>
      </c>
      <c r="AE23" s="14">
        <v>0.47839999999999999</v>
      </c>
      <c r="AF23" s="14">
        <v>0.47839999999999999</v>
      </c>
      <c r="AG23" s="14">
        <v>0.44240000000000002</v>
      </c>
      <c r="AH23" s="14">
        <v>0.42130000000000001</v>
      </c>
      <c r="AI23" s="14">
        <v>0.70009999999999994</v>
      </c>
      <c r="AJ23" s="14">
        <v>3.3999999999999998E-3</v>
      </c>
    </row>
    <row r="24" spans="1:36" ht="15.75" customHeight="1">
      <c r="A24" s="13">
        <v>5</v>
      </c>
      <c r="B24" s="4">
        <v>1.06</v>
      </c>
      <c r="C24" s="4">
        <v>3.45</v>
      </c>
      <c r="D24" s="4">
        <v>-2.1</v>
      </c>
      <c r="E24" s="4">
        <v>-0.5</v>
      </c>
      <c r="F24" s="4">
        <v>50</v>
      </c>
      <c r="G24" s="13">
        <v>3</v>
      </c>
      <c r="H24" s="13">
        <v>4</v>
      </c>
      <c r="I24" s="14">
        <v>-4.5186999999999999</v>
      </c>
      <c r="J24" s="14">
        <v>-9.9400000000000002E-2</v>
      </c>
      <c r="K24" s="14">
        <v>-0.10100000000000001</v>
      </c>
      <c r="L24" s="2">
        <v>1.478</v>
      </c>
      <c r="M24" s="14">
        <v>5.7275999999999998</v>
      </c>
      <c r="N24" s="14">
        <v>5.2009999999999996</v>
      </c>
      <c r="O24" s="14">
        <v>0.45</v>
      </c>
      <c r="P24" s="14">
        <v>1E-3</v>
      </c>
      <c r="Q24" s="14">
        <v>0</v>
      </c>
      <c r="R24" s="14">
        <v>0</v>
      </c>
      <c r="S24" s="14">
        <v>2.7172000000000001</v>
      </c>
      <c r="T24" s="14">
        <v>0.45789999999999997</v>
      </c>
      <c r="U24" s="47">
        <v>-1.0200000000000001E-3</v>
      </c>
      <c r="V24" s="47">
        <v>-9.8999999999999999E-4</v>
      </c>
      <c r="W24" s="14">
        <v>-0.92220000000000002</v>
      </c>
      <c r="X24" s="14">
        <v>0</v>
      </c>
      <c r="Y24" s="51">
        <v>-1.4400000000000001E-3</v>
      </c>
      <c r="Z24" s="51">
        <v>3.2230000000000002E-3</v>
      </c>
      <c r="AA24" s="14">
        <v>0.47989999999999999</v>
      </c>
      <c r="AB24" s="51">
        <v>5.5170000000000002E-3</v>
      </c>
      <c r="AC24" s="13">
        <v>320.89999999999998</v>
      </c>
      <c r="AD24" s="14">
        <v>0.22950000000000001</v>
      </c>
      <c r="AE24" s="14">
        <v>0.50739999999999996</v>
      </c>
      <c r="AF24" s="14">
        <v>0.50739999999999996</v>
      </c>
      <c r="AG24" s="14">
        <v>0.442</v>
      </c>
      <c r="AH24" s="14">
        <v>0.42130000000000001</v>
      </c>
      <c r="AI24" s="14">
        <v>0.7</v>
      </c>
      <c r="AJ24" s="14">
        <v>2.7000000000000001E-3</v>
      </c>
    </row>
    <row r="25" spans="1:36" ht="15.75" customHeight="1">
      <c r="A25" s="13">
        <v>7.5</v>
      </c>
      <c r="B25" s="4">
        <v>1.06</v>
      </c>
      <c r="C25" s="4">
        <v>3.45</v>
      </c>
      <c r="D25" s="4">
        <v>-2.1</v>
      </c>
      <c r="E25" s="4">
        <v>-0.5</v>
      </c>
      <c r="F25" s="4">
        <v>50</v>
      </c>
      <c r="G25" s="13">
        <v>3</v>
      </c>
      <c r="H25" s="13">
        <v>4</v>
      </c>
      <c r="I25" s="14">
        <v>-5.1223999999999998</v>
      </c>
      <c r="J25" s="14">
        <v>-9.9900000000000003E-2</v>
      </c>
      <c r="K25" s="14">
        <v>-0.10100000000000001</v>
      </c>
      <c r="L25" s="2">
        <v>1.498</v>
      </c>
      <c r="M25" s="14">
        <v>5.9890999999999996</v>
      </c>
      <c r="N25" s="14">
        <v>5.2</v>
      </c>
      <c r="O25" s="14">
        <v>0.45</v>
      </c>
      <c r="P25" s="14">
        <v>0</v>
      </c>
      <c r="Q25" s="14">
        <v>0</v>
      </c>
      <c r="R25" s="14">
        <v>0</v>
      </c>
      <c r="S25" s="14">
        <v>2.7176999999999998</v>
      </c>
      <c r="T25" s="14">
        <v>0.75139999999999996</v>
      </c>
      <c r="U25" s="47">
        <v>-9.6000000000000002E-4</v>
      </c>
      <c r="V25" s="47">
        <v>-9.3999999999999997E-4</v>
      </c>
      <c r="W25" s="14">
        <v>-0.83460000000000001</v>
      </c>
      <c r="X25" s="14">
        <v>0</v>
      </c>
      <c r="Y25" s="51">
        <v>-1.369E-3</v>
      </c>
      <c r="Z25" s="51">
        <v>1.134E-3</v>
      </c>
      <c r="AA25" s="14">
        <v>0.48</v>
      </c>
      <c r="AB25" s="51">
        <v>5.5170000000000002E-3</v>
      </c>
      <c r="AC25" s="13">
        <v>320.3</v>
      </c>
      <c r="AD25" s="14">
        <v>0.26600000000000001</v>
      </c>
      <c r="AE25" s="14">
        <v>0.53280000000000005</v>
      </c>
      <c r="AF25" s="14">
        <v>0.53280000000000005</v>
      </c>
      <c r="AG25" s="14">
        <v>0.44159999999999999</v>
      </c>
      <c r="AH25" s="14">
        <v>0.42130000000000001</v>
      </c>
      <c r="AI25" s="14">
        <v>0.7</v>
      </c>
      <c r="AJ25" s="14">
        <v>1.8E-3</v>
      </c>
    </row>
    <row r="26" spans="1:36" ht="15.75" customHeight="1">
      <c r="A26" s="13">
        <v>10</v>
      </c>
      <c r="B26" s="4">
        <v>1.06</v>
      </c>
      <c r="C26" s="4">
        <v>3.45</v>
      </c>
      <c r="D26" s="4">
        <v>-2.1</v>
      </c>
      <c r="E26" s="4">
        <v>-0.5</v>
      </c>
      <c r="F26" s="4">
        <v>50</v>
      </c>
      <c r="G26" s="13">
        <v>3</v>
      </c>
      <c r="H26" s="13">
        <v>4</v>
      </c>
      <c r="I26" s="14">
        <v>-5.5872000000000002</v>
      </c>
      <c r="J26" s="14">
        <v>-0.1</v>
      </c>
      <c r="K26" s="14">
        <v>-0.1</v>
      </c>
      <c r="L26" s="2">
        <v>1.502</v>
      </c>
      <c r="M26" s="14">
        <v>6.1929999999999996</v>
      </c>
      <c r="N26" s="14">
        <v>5.2</v>
      </c>
      <c r="O26" s="14">
        <v>0.45</v>
      </c>
      <c r="P26" s="14">
        <v>0</v>
      </c>
      <c r="Q26" s="14">
        <v>0</v>
      </c>
      <c r="R26" s="14">
        <v>0</v>
      </c>
      <c r="S26" s="14">
        <v>2.718</v>
      </c>
      <c r="T26" s="14">
        <v>1.1856</v>
      </c>
      <c r="U26" s="47">
        <v>-9.3999999999999997E-4</v>
      </c>
      <c r="V26" s="47">
        <v>-9.1E-4</v>
      </c>
      <c r="W26" s="14">
        <v>-0.73319999999999996</v>
      </c>
      <c r="X26" s="14">
        <v>0</v>
      </c>
      <c r="Y26" s="51">
        <v>-1.361E-3</v>
      </c>
      <c r="Z26" s="51">
        <v>5.1500000000000005E-4</v>
      </c>
      <c r="AA26" s="14">
        <v>0.48</v>
      </c>
      <c r="AB26" s="51">
        <v>5.5170000000000002E-3</v>
      </c>
      <c r="AC26" s="13">
        <v>320.10000000000002</v>
      </c>
      <c r="AD26" s="14">
        <v>0.26819999999999999</v>
      </c>
      <c r="AE26" s="14">
        <v>0.55420000000000003</v>
      </c>
      <c r="AF26" s="14">
        <v>0.55420000000000003</v>
      </c>
      <c r="AG26" s="14">
        <v>0.44140000000000001</v>
      </c>
      <c r="AH26" s="14">
        <v>0.42130000000000001</v>
      </c>
      <c r="AI26" s="14">
        <v>0.7</v>
      </c>
      <c r="AJ26" s="14">
        <v>1.4E-3</v>
      </c>
    </row>
    <row r="27" spans="1:36" ht="15.75" customHeight="1">
      <c r="A27" s="13">
        <v>0</v>
      </c>
      <c r="B27" s="4">
        <v>1.06</v>
      </c>
      <c r="C27" s="4">
        <v>3.45</v>
      </c>
      <c r="D27" s="4">
        <v>-2.1</v>
      </c>
      <c r="E27" s="4">
        <v>-0.5</v>
      </c>
      <c r="F27" s="4">
        <v>50</v>
      </c>
      <c r="G27" s="13">
        <v>3</v>
      </c>
      <c r="H27" s="13">
        <v>4</v>
      </c>
      <c r="I27" s="14">
        <v>-1.2686999999999999</v>
      </c>
      <c r="J27" s="14">
        <v>0.1</v>
      </c>
      <c r="K27" s="14">
        <v>-0.255</v>
      </c>
      <c r="L27" s="2">
        <v>2.996</v>
      </c>
      <c r="M27" s="14">
        <v>4.1840000000000002</v>
      </c>
      <c r="N27" s="14">
        <v>6.16</v>
      </c>
      <c r="O27" s="14">
        <v>0.48930000000000001</v>
      </c>
      <c r="P27" s="14">
        <v>5.1200000000000002E-2</v>
      </c>
      <c r="Q27" s="14">
        <v>8.5999999999999993E-2</v>
      </c>
      <c r="R27" s="14">
        <v>0.79</v>
      </c>
      <c r="S27" s="14">
        <v>1.5004999999999999</v>
      </c>
      <c r="T27" s="14">
        <v>-0.32179999999999997</v>
      </c>
      <c r="U27" s="47">
        <v>-8.0400000000000003E-3</v>
      </c>
      <c r="V27" s="47">
        <v>-7.8499999999999993E-3</v>
      </c>
      <c r="W27" s="14">
        <v>-0.44169999999999998</v>
      </c>
      <c r="X27" s="14">
        <v>-0.14169999999999999</v>
      </c>
      <c r="Y27" s="51">
        <v>-7.0099999999999997E-3</v>
      </c>
      <c r="Z27" s="51">
        <v>0.10215100000000001</v>
      </c>
      <c r="AA27" s="14">
        <v>0.22889999999999999</v>
      </c>
      <c r="AB27" s="51">
        <v>1.4996000000000001E-2</v>
      </c>
      <c r="AC27" s="13">
        <v>580</v>
      </c>
      <c r="AD27" s="14">
        <v>7.0000000000000007E-2</v>
      </c>
      <c r="AE27" s="14">
        <v>0.34370000000000001</v>
      </c>
      <c r="AF27" s="14">
        <v>0.26369999999999999</v>
      </c>
      <c r="AG27" s="14">
        <v>0.44579999999999997</v>
      </c>
      <c r="AH27" s="14">
        <v>0.34589999999999999</v>
      </c>
      <c r="AI27" s="14">
        <v>0.8</v>
      </c>
      <c r="AJ27" s="14">
        <v>6.6299999999999998E-2</v>
      </c>
    </row>
    <row r="28" spans="1:36" ht="15.75" customHeight="1">
      <c r="A28" s="13">
        <v>-1</v>
      </c>
      <c r="B28" s="4">
        <v>1.06</v>
      </c>
      <c r="C28" s="4">
        <v>3.45</v>
      </c>
      <c r="D28" s="4">
        <v>-2.1</v>
      </c>
      <c r="E28" s="4">
        <v>-0.5</v>
      </c>
      <c r="F28" s="4">
        <v>50</v>
      </c>
      <c r="G28" s="13">
        <v>3</v>
      </c>
      <c r="H28" s="13">
        <v>4</v>
      </c>
      <c r="I28" s="14">
        <v>2.2884000000000002</v>
      </c>
      <c r="J28" s="14">
        <v>0.1094</v>
      </c>
      <c r="K28" s="14">
        <v>-6.2600000000000003E-2</v>
      </c>
      <c r="L28" s="2">
        <v>1.6479999999999999</v>
      </c>
      <c r="M28" s="14">
        <v>4.2979000000000003</v>
      </c>
      <c r="N28" s="14">
        <v>5.17</v>
      </c>
      <c r="O28" s="14">
        <v>0.44069999999999998</v>
      </c>
      <c r="P28" s="14">
        <v>2.07E-2</v>
      </c>
      <c r="Q28" s="14">
        <v>4.3700000000000003E-2</v>
      </c>
      <c r="R28" s="14">
        <v>0.30790000000000001</v>
      </c>
      <c r="S28" s="14">
        <v>2.669</v>
      </c>
      <c r="T28" s="14">
        <v>-0.1166</v>
      </c>
      <c r="U28" s="47">
        <v>-2.7499999999999998E-3</v>
      </c>
      <c r="V28" s="47">
        <v>-6.2500000000000003E-3</v>
      </c>
      <c r="W28" s="14">
        <v>-0.78610000000000002</v>
      </c>
      <c r="X28" s="14">
        <v>-6.9900000000000004E-2</v>
      </c>
      <c r="Y28" s="51">
        <v>-8.4440000000000001E-3</v>
      </c>
      <c r="Z28" s="51">
        <v>5.41</v>
      </c>
      <c r="AA28" s="14">
        <v>0.28989999999999999</v>
      </c>
      <c r="AB28" s="51">
        <v>6.718E-3</v>
      </c>
      <c r="AC28" s="13">
        <v>459</v>
      </c>
      <c r="AD28" s="14">
        <v>0.1138</v>
      </c>
      <c r="AE28" s="14">
        <v>0.25390000000000001</v>
      </c>
      <c r="AF28" s="14">
        <v>0.23810000000000001</v>
      </c>
      <c r="AG28" s="14">
        <v>0.4496</v>
      </c>
      <c r="AH28" s="14">
        <v>0.35539999999999999</v>
      </c>
      <c r="AI28" s="14">
        <v>0.75039999999999996</v>
      </c>
      <c r="AJ28" s="14">
        <v>1.3299999999999999E-2</v>
      </c>
    </row>
  </sheetData>
  <sheetProtection sheet="1" deleteColumns="0" deleteRows="0" sort="0"/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F20" sqref="F20"/>
    </sheetView>
  </sheetViews>
  <sheetFormatPr defaultRowHeight="12.75"/>
  <cols>
    <col min="1" max="1" width="11.42578125" bestFit="1" customWidth="1"/>
    <col min="5" max="5" width="10.85546875" customWidth="1"/>
    <col min="6" max="6" width="10.85546875" bestFit="1" customWidth="1"/>
  </cols>
  <sheetData>
    <row r="1" spans="1:10" ht="15.75" customHeight="1">
      <c r="A1" s="1" t="s">
        <v>215</v>
      </c>
      <c r="B1" s="16"/>
      <c r="C1" s="16"/>
      <c r="D1" s="16"/>
      <c r="E1" s="16"/>
      <c r="F1" s="16"/>
      <c r="G1" s="16"/>
      <c r="H1" s="16"/>
    </row>
    <row r="2" spans="1:10" ht="15.75" customHeight="1">
      <c r="A2" s="16"/>
      <c r="B2" s="16"/>
      <c r="C2" s="16"/>
      <c r="D2" s="16"/>
      <c r="E2" s="16"/>
      <c r="F2" s="16"/>
      <c r="G2" s="17"/>
      <c r="H2" s="17"/>
    </row>
    <row r="3" spans="1:10" ht="15.75" customHeight="1">
      <c r="A3" s="1" t="s">
        <v>47</v>
      </c>
      <c r="B3" s="12"/>
      <c r="C3" s="105" t="s">
        <v>48</v>
      </c>
      <c r="D3" s="105"/>
      <c r="E3" s="105"/>
      <c r="F3" s="105"/>
      <c r="G3" s="105"/>
      <c r="H3" s="105"/>
      <c r="I3" s="105"/>
      <c r="J3" s="18"/>
    </row>
    <row r="4" spans="1:10" ht="15.75" customHeight="1">
      <c r="A4" s="16"/>
      <c r="B4" s="16"/>
      <c r="C4" s="16"/>
      <c r="D4" s="17"/>
      <c r="E4" s="17"/>
      <c r="F4" s="17"/>
    </row>
    <row r="5" spans="1:10" ht="15.75" customHeight="1">
      <c r="A5" s="19" t="s">
        <v>30</v>
      </c>
      <c r="B5" s="12"/>
      <c r="C5" s="12" t="s">
        <v>32</v>
      </c>
      <c r="D5" s="20" t="s">
        <v>69</v>
      </c>
      <c r="E5" s="20" t="s">
        <v>209</v>
      </c>
      <c r="F5" s="22" t="s">
        <v>33</v>
      </c>
      <c r="G5" s="23" t="s">
        <v>216</v>
      </c>
      <c r="H5" s="24" t="s">
        <v>29</v>
      </c>
      <c r="I5" s="52" t="s">
        <v>76</v>
      </c>
      <c r="J5" s="23"/>
    </row>
    <row r="6" spans="1:10" ht="15.75" customHeight="1">
      <c r="A6" s="25">
        <f>Main!$A$13</f>
        <v>8</v>
      </c>
      <c r="B6" s="26"/>
      <c r="C6" s="1" t="s">
        <v>49</v>
      </c>
      <c r="D6" s="26">
        <v>0.01</v>
      </c>
      <c r="E6" s="28">
        <f>EXP('CY08 Coeffs'!$I5+('CY08 Coeffs'!$J5*A$18+'CY08 Coeffs'!$K5*A$21+'CY08 Coeffs'!$P5*(A$27-4))*(1-A$45)+('CY08 Coeffs'!$T5+'CY08 Coeffs'!$Q5*(A$27-4))*A$45+'CY08 Coeffs'!$B5*(A$6-6)+('CY08 Coeffs'!$B5-'CY08 Coeffs'!$C5)/'CY08 Coeffs'!$L5*LN(1+EXP('CY08 Coeffs'!$L5*('CY08 Coeffs'!$M5-A$6)))+'CY08 Coeffs'!$D5*LN(A$9+'CY08 Coeffs'!$N5*COSH('CY08 Coeffs'!$O5*MAX(A$6-'CY08 Coeffs'!$G5,0)))+('CY08 Coeffs'!$E5-'CY08 Coeffs'!$D5)*LN(SQRT(A$9^2+'CY08 Coeffs'!$F5^2))+('CY08 Coeffs'!$U5+'CY08 Coeffs'!$V5/COSH(MAX(A$6-'CY08 Coeffs'!$H5,0)))*A$9+'CY08 Coeffs'!$R5*A$24*TANH(A$15*COS(A$30/180*PI())^2/'CY08 Coeffs'!$S5)*(1-SQRT(A$12^2+A$27^2)/(A$9+0.001)))</f>
        <v>0.13451760664315349</v>
      </c>
      <c r="F6" s="28">
        <f>$E6*EXP('CY08 Coeffs'!$W5*MIN(LN(A$33/1130),0)+'CY08 Coeffs'!$X5*(EXP('CY08 Coeffs'!$Y5*(MIN(A$33,1130)-360))-EXP('CY08 Coeffs'!$Y5*770))*LN(($E6+'CY08 Coeffs'!$Z5)/'CY08 Coeffs'!$Z5)+'CY08 Coeffs'!$AA5*(1-1/COSH('CY08 Coeffs'!$AB5*MAX(A$36-'CY08 Coeffs'!$AC5,0)))+'CY08 Coeffs'!$AD5/COSH(0.15*MIN(MAX(A$36-15,0),300)))</f>
        <v>0.16505906870976753</v>
      </c>
      <c r="G6" s="14">
        <f>('CY08 Coeffs'!$AG5+(('CY08 Coeffs'!$AH5-'CY08 Coeffs'!$AG5)/2)*(MIN(MAX(A$6,5),7)-5)+'CY08 Coeffs'!$AJ5*A$45)*SQRT(('CY08 Coeffs'!$AI5*A$39+0.7*A$42)+(1+'CY08 Coeffs'!$X5*(EXP('CY08 Coeffs'!$Y5*(MIN(A$33,1130)-360))-EXP('CY08 Coeffs'!$Y5*770))*($E6/($E6+'CY08 Coeffs'!$Z5)))^2)</f>
        <v>0.44980214949047082</v>
      </c>
      <c r="H6" s="14">
        <f>'CY08 Coeffs'!$AE5+(('CY08 Coeffs'!$AF5-'CY08 Coeffs'!$AE5)/2)*(MIN(MAX(A$6,5),7)-5)</f>
        <v>0.26369999999999999</v>
      </c>
      <c r="I6" s="14">
        <f>SQRT(((1+'CY08 Coeffs'!$X5*(EXP('CY08 Coeffs'!$Y5*(MIN(A$33,1130)-360))-EXP('CY08 Coeffs'!$Y5*770))*($E6/($E6+'CY08 Coeffs'!$Z5)))^2)*$H6^2+$G6^2)</f>
        <v>0.52080070081636254</v>
      </c>
      <c r="J6" s="2"/>
    </row>
    <row r="7" spans="1:10" ht="15.75" customHeight="1">
      <c r="A7" s="25"/>
      <c r="B7" s="26"/>
      <c r="C7" s="1"/>
      <c r="D7" s="26">
        <v>0.02</v>
      </c>
      <c r="E7" s="28">
        <f>EXP('CY08 Coeffs'!$I6+('CY08 Coeffs'!$J6*A$18+'CY08 Coeffs'!$K6*A$21+'CY08 Coeffs'!$P6*(A$27-4))*(1-A$45)+('CY08 Coeffs'!$T6+'CY08 Coeffs'!$Q6*(A$27-4))*A$45+'CY08 Coeffs'!$B6*(A$6-6)+('CY08 Coeffs'!$B6-'CY08 Coeffs'!$C6)/'CY08 Coeffs'!$L6*LN(1+EXP('CY08 Coeffs'!$L6*('CY08 Coeffs'!$M6-A$6)))+'CY08 Coeffs'!$D6*LN(A$9+'CY08 Coeffs'!$N6*COSH('CY08 Coeffs'!$O6*MAX(A$6-'CY08 Coeffs'!$G6,0)))+('CY08 Coeffs'!$E6-'CY08 Coeffs'!$D6)*LN(SQRT(A$9^2+'CY08 Coeffs'!$F6^2))+('CY08 Coeffs'!$U6+'CY08 Coeffs'!$V6/COSH(MAX(A$6-'CY08 Coeffs'!$H6,0)))*A$9+'CY08 Coeffs'!$R6*A$24*TANH(A$15*COS(A$30/180*PI())^2/'CY08 Coeffs'!$S6)*(1-SQRT(A$12^2+A$27^2)/(A$9+0.001)))</f>
        <v>0.13674226613857821</v>
      </c>
      <c r="F7" s="28">
        <f>$E7*EXP('CY08 Coeffs'!$W6*MIN(LN(A$33/1130),0)+'CY08 Coeffs'!$X6*(EXP('CY08 Coeffs'!$Y6*(MIN(A$33,1130)-360))-EXP('CY08 Coeffs'!$Y6*770))*LN(($E7+'CY08 Coeffs'!$Z6)/'CY08 Coeffs'!$Z6)+'CY08 Coeffs'!$AA6*(1-1/COSH('CY08 Coeffs'!$AB6*MAX(A$36-'CY08 Coeffs'!$AC6,0)))+'CY08 Coeffs'!$AD6/COSH(0.15*MIN(MAX(A$36-15,0),300)))</f>
        <v>0.16744031389270969</v>
      </c>
      <c r="G7" s="14">
        <f>('CY08 Coeffs'!$AG6+(('CY08 Coeffs'!$AH6-'CY08 Coeffs'!$AG6)/2)*(MIN(MAX(A$6,5),7)-5)+'CY08 Coeffs'!$AJ6*A$45)*SQRT(('CY08 Coeffs'!$AI6*A$39+0.7*A$42)+(1+'CY08 Coeffs'!$X6*(EXP('CY08 Coeffs'!$Y6*(MIN(A$33,1130)-360))-EXP('CY08 Coeffs'!$Y6*770))*($E7/($E7+'CY08 Coeffs'!$Z6)))^2)</f>
        <v>0.44997552629478599</v>
      </c>
      <c r="H7" s="14">
        <f>'CY08 Coeffs'!$AE6+(('CY08 Coeffs'!$AF6-'CY08 Coeffs'!$AE6)/2)*(MIN(MAX(A$6,5),7)-5)</f>
        <v>0.2671</v>
      </c>
      <c r="I7" s="14">
        <f>SQRT(((1+'CY08 Coeffs'!$X6*(EXP('CY08 Coeffs'!$Y6*(MIN(A$33,1130)-360))-EXP('CY08 Coeffs'!$Y6*770))*($E7/($E7+'CY08 Coeffs'!$Z6)))^2)*$H7^2+$G7^2)</f>
        <v>0.52275314970698328</v>
      </c>
      <c r="J7" s="2"/>
    </row>
    <row r="8" spans="1:10" ht="15.75" customHeight="1">
      <c r="A8" s="5" t="s">
        <v>77</v>
      </c>
      <c r="B8" s="26"/>
      <c r="C8" s="1"/>
      <c r="D8" s="26">
        <v>0.03</v>
      </c>
      <c r="E8" s="28">
        <f>EXP('CY08 Coeffs'!$I7+('CY08 Coeffs'!$J7*A$18+'CY08 Coeffs'!$K7*A$21+'CY08 Coeffs'!$P7*(A$27-4))*(1-A$45)+('CY08 Coeffs'!$T7+'CY08 Coeffs'!$Q7*(A$27-4))*A$45+'CY08 Coeffs'!$B7*(A$6-6)+('CY08 Coeffs'!$B7-'CY08 Coeffs'!$C7)/'CY08 Coeffs'!$L7*LN(1+EXP('CY08 Coeffs'!$L7*('CY08 Coeffs'!$M7-A$6)))+'CY08 Coeffs'!$D7*LN(A$9+'CY08 Coeffs'!$N7*COSH('CY08 Coeffs'!$O7*MAX(A$6-'CY08 Coeffs'!$G7,0)))+('CY08 Coeffs'!$E7-'CY08 Coeffs'!$D7)*LN(SQRT(A$9^2+'CY08 Coeffs'!$F7^2))+('CY08 Coeffs'!$U7+'CY08 Coeffs'!$V7/COSH(MAX(A$6-'CY08 Coeffs'!$H7,0)))*A$9+'CY08 Coeffs'!$R7*A$24*TANH(A$15*COS(A$30/180*PI())^2/'CY08 Coeffs'!$S7)*(1-SQRT(A$12^2+A$27^2)/(A$9+0.001)))</f>
        <v>0.14696177487243359</v>
      </c>
      <c r="F8" s="28">
        <f>$E8*EXP('CY08 Coeffs'!$W7*MIN(LN(A$33/1130),0)+'CY08 Coeffs'!$X7*(EXP('CY08 Coeffs'!$Y7*(MIN(A$33,1130)-360))-EXP('CY08 Coeffs'!$Y7*770))*LN(($E8+'CY08 Coeffs'!$Z7)/'CY08 Coeffs'!$Z7)+'CY08 Coeffs'!$AA7*(1-1/COSH('CY08 Coeffs'!$AB7*MAX(A$36-'CY08 Coeffs'!$AC7,0)))+'CY08 Coeffs'!$AD7/COSH(0.15*MIN(MAX(A$36-15,0),300)))</f>
        <v>0.17883248083002543</v>
      </c>
      <c r="G8" s="14">
        <f>('CY08 Coeffs'!$AG7+(('CY08 Coeffs'!$AH7-'CY08 Coeffs'!$AG7)/2)*(MIN(MAX(A$6,5),7)-5)+'CY08 Coeffs'!$AJ7*A$45)*SQRT(('CY08 Coeffs'!$AI7*A$39+0.7*A$42)+(1+'CY08 Coeffs'!$X7*(EXP('CY08 Coeffs'!$Y7*(MIN(A$33,1130)-360))-EXP('CY08 Coeffs'!$Y7*770))*($E8/($E8+'CY08 Coeffs'!$Z7)))^2)</f>
        <v>0.4601356673301718</v>
      </c>
      <c r="H8" s="14">
        <f>'CY08 Coeffs'!$AE7+(('CY08 Coeffs'!$AF7-'CY08 Coeffs'!$AE7)/2)*(MIN(MAX(A$6,5),7)-5)</f>
        <v>0.28029999999999999</v>
      </c>
      <c r="I8" s="14">
        <f>SQRT(((1+'CY08 Coeffs'!$X7*(EXP('CY08 Coeffs'!$Y7*(MIN(A$33,1130)-360))-EXP('CY08 Coeffs'!$Y7*770))*($E8/($E8+'CY08 Coeffs'!$Z7)))^2)*$H8^2+$G8^2)</f>
        <v>0.53823358777850316</v>
      </c>
      <c r="J8" s="2"/>
    </row>
    <row r="9" spans="1:10" ht="15.75" customHeight="1">
      <c r="A9" s="25">
        <f>Main!$A$16</f>
        <v>25</v>
      </c>
      <c r="B9" s="26"/>
      <c r="C9" s="1"/>
      <c r="D9" s="26">
        <v>0.04</v>
      </c>
      <c r="E9" s="28">
        <f>EXP('CY08 Coeffs'!$I8+('CY08 Coeffs'!$J8*A$18+'CY08 Coeffs'!$K8*A$21+'CY08 Coeffs'!$P8*(A$27-4))*(1-A$45)+('CY08 Coeffs'!$T8+'CY08 Coeffs'!$Q8*(A$27-4))*A$45+'CY08 Coeffs'!$B8*(A$6-6)+('CY08 Coeffs'!$B8-'CY08 Coeffs'!$C8)/'CY08 Coeffs'!$L8*LN(1+EXP('CY08 Coeffs'!$L8*('CY08 Coeffs'!$M8-A$6)))+'CY08 Coeffs'!$D8*LN(A$9+'CY08 Coeffs'!$N8*COSH('CY08 Coeffs'!$O8*MAX(A$6-'CY08 Coeffs'!$G8,0)))+('CY08 Coeffs'!$E8-'CY08 Coeffs'!$D8)*LN(SQRT(A$9^2+'CY08 Coeffs'!$F8^2))+('CY08 Coeffs'!$U8+'CY08 Coeffs'!$V8/COSH(MAX(A$6-'CY08 Coeffs'!$H8,0)))*A$9+'CY08 Coeffs'!$R8*A$24*TANH(A$15*COS(A$30/180*PI())^2/'CY08 Coeffs'!$S8)*(1-SQRT(A$12^2+A$27^2)/(A$9+0.001)))</f>
        <v>0.16261792680898032</v>
      </c>
      <c r="F9" s="28">
        <f>$E9*EXP('CY08 Coeffs'!$W8*MIN(LN(A$33/1130),0)+'CY08 Coeffs'!$X8*(EXP('CY08 Coeffs'!$Y8*(MIN(A$33,1130)-360))-EXP('CY08 Coeffs'!$Y8*770))*LN(($E9+'CY08 Coeffs'!$Z8)/'CY08 Coeffs'!$Z8)+'CY08 Coeffs'!$AA8*(1-1/COSH('CY08 Coeffs'!$AB8*MAX(A$36-'CY08 Coeffs'!$AC8,0)))+'CY08 Coeffs'!$AD8/COSH(0.15*MIN(MAX(A$36-15,0),300)))</f>
        <v>0.19618564030849192</v>
      </c>
      <c r="G9" s="14">
        <f>('CY08 Coeffs'!$AG8+(('CY08 Coeffs'!$AH8-'CY08 Coeffs'!$AG8)/2)*(MIN(MAX(A$6,5),7)-5)+'CY08 Coeffs'!$AJ8*A$45)*SQRT(('CY08 Coeffs'!$AI8*A$39+0.7*A$42)+(1+'CY08 Coeffs'!$X8*(EXP('CY08 Coeffs'!$Y8*(MIN(A$33,1130)-360))-EXP('CY08 Coeffs'!$Y8*770))*($E9/($E9+'CY08 Coeffs'!$Z8)))^2)</f>
        <v>0.46697605874510262</v>
      </c>
      <c r="H9" s="14">
        <f>'CY08 Coeffs'!$AE8+(('CY08 Coeffs'!$AF8-'CY08 Coeffs'!$AE8)/2)*(MIN(MAX(A$6,5),7)-5)</f>
        <v>0.2918</v>
      </c>
      <c r="I9" s="14">
        <f>SQRT(((1+'CY08 Coeffs'!$X8*(EXP('CY08 Coeffs'!$Y8*(MIN(A$33,1130)-360))-EXP('CY08 Coeffs'!$Y8*770))*($E9/($E9+'CY08 Coeffs'!$Z8)))^2)*$H9^2+$G9^2)</f>
        <v>0.54988390098954232</v>
      </c>
      <c r="J9" s="2"/>
    </row>
    <row r="10" spans="1:10" ht="15.75" customHeight="1">
      <c r="A10" s="25"/>
      <c r="B10" s="26"/>
      <c r="C10" s="1"/>
      <c r="D10" s="26">
        <v>0.05</v>
      </c>
      <c r="E10" s="28">
        <f>EXP('CY08 Coeffs'!$I9+('CY08 Coeffs'!$J9*A$18+'CY08 Coeffs'!$K9*A$21+'CY08 Coeffs'!$P9*(A$27-4))*(1-A$45)+('CY08 Coeffs'!$T9+'CY08 Coeffs'!$Q9*(A$27-4))*A$45+'CY08 Coeffs'!$B9*(A$6-6)+('CY08 Coeffs'!$B9-'CY08 Coeffs'!$C9)/'CY08 Coeffs'!$L9*LN(1+EXP('CY08 Coeffs'!$L9*('CY08 Coeffs'!$M9-A$6)))+'CY08 Coeffs'!$D9*LN(A$9+'CY08 Coeffs'!$N9*COSH('CY08 Coeffs'!$O9*MAX(A$6-'CY08 Coeffs'!$G9,0)))+('CY08 Coeffs'!$E9-'CY08 Coeffs'!$D9)*LN(SQRT(A$9^2+'CY08 Coeffs'!$F9^2))+('CY08 Coeffs'!$U9+'CY08 Coeffs'!$V9/COSH(MAX(A$6-'CY08 Coeffs'!$H9,0)))*A$9+'CY08 Coeffs'!$R9*A$24*TANH(A$15*COS(A$30/180*PI())^2/'CY08 Coeffs'!$S9)*(1-SQRT(A$12^2+A$27^2)/(A$9+0.001)))</f>
        <v>0.18271004270047311</v>
      </c>
      <c r="F10" s="28">
        <f>$E10*EXP('CY08 Coeffs'!$W9*MIN(LN(A$33/1130),0)+'CY08 Coeffs'!$X9*(EXP('CY08 Coeffs'!$Y9*(MIN(A$33,1130)-360))-EXP('CY08 Coeffs'!$Y9*770))*LN(($E10+'CY08 Coeffs'!$Z9)/'CY08 Coeffs'!$Z9)+'CY08 Coeffs'!$AA9*(1-1/COSH('CY08 Coeffs'!$AB9*MAX(A$36-'CY08 Coeffs'!$AC9,0)))+'CY08 Coeffs'!$AD9/COSH(0.15*MIN(MAX(A$36-15,0),300)))</f>
        <v>0.21890774682114506</v>
      </c>
      <c r="G10" s="14">
        <f>('CY08 Coeffs'!$AG9+(('CY08 Coeffs'!$AH9-'CY08 Coeffs'!$AG9)/2)*(MIN(MAX(A$6,5),7)-5)+'CY08 Coeffs'!$AJ9*A$45)*SQRT(('CY08 Coeffs'!$AI9*A$39+0.7*A$42)+(1+'CY08 Coeffs'!$X9*(EXP('CY08 Coeffs'!$Y9*(MIN(A$33,1130)-360))-EXP('CY08 Coeffs'!$Y9*770))*($E10/($E10+'CY08 Coeffs'!$Z9)))^2)</f>
        <v>0.47199311161286978</v>
      </c>
      <c r="H10" s="14">
        <f>'CY08 Coeffs'!$AE9+(('CY08 Coeffs'!$AF9-'CY08 Coeffs'!$AE9)/2)*(MIN(MAX(A$6,5),7)-5)</f>
        <v>0.30480000000000002</v>
      </c>
      <c r="I10" s="14">
        <f>SQRT(((1+'CY08 Coeffs'!$X9*(EXP('CY08 Coeffs'!$Y9*(MIN(A$33,1130)-360))-EXP('CY08 Coeffs'!$Y9*770))*($E10/($E10+'CY08 Coeffs'!$Z9)))^2)*$H10^2+$G10^2)</f>
        <v>0.56069748477004189</v>
      </c>
      <c r="J10" s="2"/>
    </row>
    <row r="11" spans="1:10" ht="15.75" customHeight="1">
      <c r="A11" s="5" t="s">
        <v>78</v>
      </c>
      <c r="B11" s="30"/>
      <c r="C11" s="1"/>
      <c r="D11" s="26">
        <v>7.4999999999999997E-2</v>
      </c>
      <c r="E11" s="28">
        <f>EXP('CY08 Coeffs'!$I10+('CY08 Coeffs'!$J10*A$18+'CY08 Coeffs'!$K10*A$21+'CY08 Coeffs'!$P10*(A$27-4))*(1-A$45)+('CY08 Coeffs'!$T10+'CY08 Coeffs'!$Q10*(A$27-4))*A$45+'CY08 Coeffs'!$B10*(A$6-6)+('CY08 Coeffs'!$B10-'CY08 Coeffs'!$C10)/'CY08 Coeffs'!$L10*LN(1+EXP('CY08 Coeffs'!$L10*('CY08 Coeffs'!$M10-A$6)))+'CY08 Coeffs'!$D10*LN(A$9+'CY08 Coeffs'!$N10*COSH('CY08 Coeffs'!$O10*MAX(A$6-'CY08 Coeffs'!$G10,0)))+('CY08 Coeffs'!$E10-'CY08 Coeffs'!$D10)*LN(SQRT(A$9^2+'CY08 Coeffs'!$F10^2))+('CY08 Coeffs'!$U10+'CY08 Coeffs'!$V10/COSH(MAX(A$6-'CY08 Coeffs'!$H10,0)))*A$9+'CY08 Coeffs'!$R10*A$24*TANH(A$15*COS(A$30/180*PI())^2/'CY08 Coeffs'!$S10)*(1-SQRT(A$12^2+A$27^2)/(A$9+0.001)))</f>
        <v>0.23278649311165936</v>
      </c>
      <c r="F11" s="28">
        <f>$E11*EXP('CY08 Coeffs'!$W10*MIN(LN(A$33/1130),0)+'CY08 Coeffs'!$X10*(EXP('CY08 Coeffs'!$Y10*(MIN(A$33,1130)-360))-EXP('CY08 Coeffs'!$Y10*770))*LN(($E11+'CY08 Coeffs'!$Z10)/'CY08 Coeffs'!$Z10)+'CY08 Coeffs'!$AA10*(1-1/COSH('CY08 Coeffs'!$AB10*MAX(A$36-'CY08 Coeffs'!$AC10,0)))+'CY08 Coeffs'!$AD10/COSH(0.15*MIN(MAX(A$36-15,0),300)))</f>
        <v>0.27803220411042473</v>
      </c>
      <c r="G11" s="14">
        <f>('CY08 Coeffs'!$AG10+(('CY08 Coeffs'!$AH10-'CY08 Coeffs'!$AG10)/2)*(MIN(MAX(A$6,5),7)-5)+'CY08 Coeffs'!$AJ10*A$45)*SQRT(('CY08 Coeffs'!$AI10*A$39+0.7*A$42)+(1+'CY08 Coeffs'!$X10*(EXP('CY08 Coeffs'!$Y10*(MIN(A$33,1130)-360))-EXP('CY08 Coeffs'!$Y10*770))*($E11/($E11+'CY08 Coeffs'!$Z10)))^2)</f>
        <v>0.48059581332755763</v>
      </c>
      <c r="H11" s="14">
        <f>'CY08 Coeffs'!$AE10+(('CY08 Coeffs'!$AF10-'CY08 Coeffs'!$AE10)/2)*(MIN(MAX(A$6,5),7)-5)</f>
        <v>0.31290000000000001</v>
      </c>
      <c r="I11" s="14">
        <f>SQRT(((1+'CY08 Coeffs'!$X10*(EXP('CY08 Coeffs'!$Y10*(MIN(A$33,1130)-360))-EXP('CY08 Coeffs'!$Y10*770))*($E11/($E11+'CY08 Coeffs'!$Z10)))^2)*$H11^2+$G11^2)</f>
        <v>0.57137295975189606</v>
      </c>
      <c r="J11" s="2"/>
    </row>
    <row r="12" spans="1:10" ht="15.75" customHeight="1">
      <c r="A12" s="25">
        <f>Main!$A$19</f>
        <v>25</v>
      </c>
      <c r="B12" s="30"/>
      <c r="C12" s="1"/>
      <c r="D12" s="30">
        <v>0.1</v>
      </c>
      <c r="E12" s="28">
        <f>EXP('CY08 Coeffs'!$I11+('CY08 Coeffs'!$J11*A$18+'CY08 Coeffs'!$K11*A$21+'CY08 Coeffs'!$P11*(A$27-4))*(1-A$45)+('CY08 Coeffs'!$T11+'CY08 Coeffs'!$Q11*(A$27-4))*A$45+'CY08 Coeffs'!$B11*(A$6-6)+('CY08 Coeffs'!$B11-'CY08 Coeffs'!$C11)/'CY08 Coeffs'!$L11*LN(1+EXP('CY08 Coeffs'!$L11*('CY08 Coeffs'!$M11-A$6)))+'CY08 Coeffs'!$D11*LN(A$9+'CY08 Coeffs'!$N11*COSH('CY08 Coeffs'!$O11*MAX(A$6-'CY08 Coeffs'!$G11,0)))+('CY08 Coeffs'!$E11-'CY08 Coeffs'!$D11)*LN(SQRT(A$9^2+'CY08 Coeffs'!$F11^2))+('CY08 Coeffs'!$U11+'CY08 Coeffs'!$V11/COSH(MAX(A$6-'CY08 Coeffs'!$H11,0)))*A$9+'CY08 Coeffs'!$R11*A$24*TANH(A$15*COS(A$30/180*PI())^2/'CY08 Coeffs'!$S11)*(1-SQRT(A$12^2+A$27^2)/(A$9+0.001)))</f>
        <v>0.27077271864062913</v>
      </c>
      <c r="F12" s="28">
        <f>$E12*EXP('CY08 Coeffs'!$W11*MIN(LN(A$33/1130),0)+'CY08 Coeffs'!$X11*(EXP('CY08 Coeffs'!$Y11*(MIN(A$33,1130)-360))-EXP('CY08 Coeffs'!$Y11*770))*LN(($E12+'CY08 Coeffs'!$Z11)/'CY08 Coeffs'!$Z11)+'CY08 Coeffs'!$AA11*(1-1/COSH('CY08 Coeffs'!$AB11*MAX(A$36-'CY08 Coeffs'!$AC11,0)))+'CY08 Coeffs'!$AD11/COSH(0.15*MIN(MAX(A$36-15,0),300)))</f>
        <v>0.32661408838273709</v>
      </c>
      <c r="G12" s="14">
        <f>('CY08 Coeffs'!$AG11+(('CY08 Coeffs'!$AH11-'CY08 Coeffs'!$AG11)/2)*(MIN(MAX(A$6,5),7)-5)+'CY08 Coeffs'!$AJ11*A$45)*SQRT(('CY08 Coeffs'!$AI11*A$39+0.7*A$42)+(1+'CY08 Coeffs'!$X11*(EXP('CY08 Coeffs'!$Y11*(MIN(A$33,1130)-360))-EXP('CY08 Coeffs'!$Y11*770))*($E12/($E12+'CY08 Coeffs'!$Z11)))^2)</f>
        <v>0.48716177878823186</v>
      </c>
      <c r="H12" s="14">
        <f>'CY08 Coeffs'!$AE11+(('CY08 Coeffs'!$AF11-'CY08 Coeffs'!$AE11)/2)*(MIN(MAX(A$6,5),7)-5)</f>
        <v>0.31519999999999998</v>
      </c>
      <c r="I12" s="14">
        <f>SQRT(((1+'CY08 Coeffs'!$X11*(EXP('CY08 Coeffs'!$Y11*(MIN(A$33,1130)-360))-EXP('CY08 Coeffs'!$Y11*770))*($E12/($E12+'CY08 Coeffs'!$Z11)))^2)*$H12^2+$G12^2)</f>
        <v>0.57772398030644057</v>
      </c>
      <c r="J12" s="2"/>
    </row>
    <row r="13" spans="1:10" ht="15.75" customHeight="1">
      <c r="A13" s="25"/>
      <c r="B13" s="30"/>
      <c r="C13" s="1"/>
      <c r="D13" s="30">
        <v>0.15</v>
      </c>
      <c r="E13" s="28">
        <f>EXP('CY08 Coeffs'!$I12+('CY08 Coeffs'!$J12*A$18+'CY08 Coeffs'!$K12*A$21+'CY08 Coeffs'!$P12*(A$27-4))*(1-A$45)+('CY08 Coeffs'!$T12+'CY08 Coeffs'!$Q12*(A$27-4))*A$45+'CY08 Coeffs'!$B12*(A$6-6)+('CY08 Coeffs'!$B12-'CY08 Coeffs'!$C12)/'CY08 Coeffs'!$L12*LN(1+EXP('CY08 Coeffs'!$L12*('CY08 Coeffs'!$M12-A$6)))+'CY08 Coeffs'!$D12*LN(A$9+'CY08 Coeffs'!$N12*COSH('CY08 Coeffs'!$O12*MAX(A$6-'CY08 Coeffs'!$G12,0)))+('CY08 Coeffs'!$E12-'CY08 Coeffs'!$D12)*LN(SQRT(A$9^2+'CY08 Coeffs'!$F12^2))+('CY08 Coeffs'!$U12+'CY08 Coeffs'!$V12/COSH(MAX(A$6-'CY08 Coeffs'!$H12,0)))*A$9+'CY08 Coeffs'!$R12*A$24*TANH(A$15*COS(A$30/180*PI())^2/'CY08 Coeffs'!$S12)*(1-SQRT(A$12^2+A$27^2)/(A$9+0.001)))</f>
        <v>0.30580669559024337</v>
      </c>
      <c r="F13" s="28">
        <f>$E13*EXP('CY08 Coeffs'!$W12*MIN(LN(A$33/1130),0)+'CY08 Coeffs'!$X12*(EXP('CY08 Coeffs'!$Y12*(MIN(A$33,1130)-360))-EXP('CY08 Coeffs'!$Y12*770))*LN(($E13+'CY08 Coeffs'!$Z12)/'CY08 Coeffs'!$Z12)+'CY08 Coeffs'!$AA12*(1-1/COSH('CY08 Coeffs'!$AB12*MAX(A$36-'CY08 Coeffs'!$AC12,0)))+'CY08 Coeffs'!$AD12/COSH(0.15*MIN(MAX(A$36-15,0),300)))</f>
        <v>0.37722503396714752</v>
      </c>
      <c r="G13" s="14">
        <f>('CY08 Coeffs'!$AG12+(('CY08 Coeffs'!$AH12-'CY08 Coeffs'!$AG12)/2)*(MIN(MAX(A$6,5),7)-5)+'CY08 Coeffs'!$AJ12*A$45)*SQRT(('CY08 Coeffs'!$AI12*A$39+0.7*A$42)+(1+'CY08 Coeffs'!$X12*(EXP('CY08 Coeffs'!$Y12*(MIN(A$33,1130)-360))-EXP('CY08 Coeffs'!$Y12*770))*($E13/($E13+'CY08 Coeffs'!$Z12)))^2)</f>
        <v>0.49740730875360378</v>
      </c>
      <c r="H13" s="14">
        <f>'CY08 Coeffs'!$AE12+(('CY08 Coeffs'!$AF12-'CY08 Coeffs'!$AE12)/2)*(MIN(MAX(A$6,5),7)-5)</f>
        <v>0.31280000000000002</v>
      </c>
      <c r="I13" s="14">
        <f>SQRT(((1+'CY08 Coeffs'!$X12*(EXP('CY08 Coeffs'!$Y12*(MIN(A$33,1130)-360))-EXP('CY08 Coeffs'!$Y12*770))*($E13/($E13+'CY08 Coeffs'!$Z12)))^2)*$H13^2+$G13^2)</f>
        <v>0.58523245727200701</v>
      </c>
      <c r="J13" s="2"/>
    </row>
    <row r="14" spans="1:10" ht="15.75" customHeight="1">
      <c r="A14" s="5" t="s">
        <v>79</v>
      </c>
      <c r="B14" s="30"/>
      <c r="C14" s="1"/>
      <c r="D14" s="30">
        <v>0.2</v>
      </c>
      <c r="E14" s="28">
        <f>EXP('CY08 Coeffs'!$I13+('CY08 Coeffs'!$J13*A$18+'CY08 Coeffs'!$K13*A$21+'CY08 Coeffs'!$P13*(A$27-4))*(1-A$45)+('CY08 Coeffs'!$T13+'CY08 Coeffs'!$Q13*(A$27-4))*A$45+'CY08 Coeffs'!$B13*(A$6-6)+('CY08 Coeffs'!$B13-'CY08 Coeffs'!$C13)/'CY08 Coeffs'!$L13*LN(1+EXP('CY08 Coeffs'!$L13*('CY08 Coeffs'!$M13-A$6)))+'CY08 Coeffs'!$D13*LN(A$9+'CY08 Coeffs'!$N13*COSH('CY08 Coeffs'!$O13*MAX(A$6-'CY08 Coeffs'!$G13,0)))+('CY08 Coeffs'!$E13-'CY08 Coeffs'!$D13)*LN(SQRT(A$9^2+'CY08 Coeffs'!$F13^2))+('CY08 Coeffs'!$U13+'CY08 Coeffs'!$V13/COSH(MAX(A$6-'CY08 Coeffs'!$H13,0)))*A$9+'CY08 Coeffs'!$R13*A$24*TANH(A$15*COS(A$30/180*PI())^2/'CY08 Coeffs'!$S13)*(1-SQRT(A$12^2+A$27^2)/(A$9+0.001)))</f>
        <v>0.30145896495832514</v>
      </c>
      <c r="F14" s="28">
        <f>$E14*EXP('CY08 Coeffs'!$W13*MIN(LN(A$33/1130),0)+'CY08 Coeffs'!$X13*(EXP('CY08 Coeffs'!$Y13*(MIN(A$33,1130)-360))-EXP('CY08 Coeffs'!$Y13*770))*LN(($E14+'CY08 Coeffs'!$Z13)/'CY08 Coeffs'!$Z13)+'CY08 Coeffs'!$AA13*(1-1/COSH('CY08 Coeffs'!$AB13*MAX(A$36-'CY08 Coeffs'!$AC13,0)))+'CY08 Coeffs'!$AD13/COSH(0.15*MIN(MAX(A$36-15,0),300)))</f>
        <v>0.37095313204498359</v>
      </c>
      <c r="G14" s="14">
        <f>('CY08 Coeffs'!$AG13+(('CY08 Coeffs'!$AH13-'CY08 Coeffs'!$AG13)/2)*(MIN(MAX(A$6,5),7)-5)+'CY08 Coeffs'!$AJ13*A$45)*SQRT(('CY08 Coeffs'!$AI13*A$39+0.7*A$42)+(1+'CY08 Coeffs'!$X13*(EXP('CY08 Coeffs'!$Y13*(MIN(A$33,1130)-360))-EXP('CY08 Coeffs'!$Y13*770))*($E14/($E14+'CY08 Coeffs'!$Z13)))^2)</f>
        <v>0.50511996826912353</v>
      </c>
      <c r="H14" s="14">
        <f>'CY08 Coeffs'!$AE13+(('CY08 Coeffs'!$AF13-'CY08 Coeffs'!$AE13)/2)*(MIN(MAX(A$6,5),7)-5)</f>
        <v>0.30759999999999998</v>
      </c>
      <c r="I14" s="14">
        <f>SQRT(((1+'CY08 Coeffs'!$X13*(EXP('CY08 Coeffs'!$Y13*(MIN(A$33,1130)-360))-EXP('CY08 Coeffs'!$Y13*770))*($E14/($E14+'CY08 Coeffs'!$Z13)))^2)*$H14^2+$G14^2)</f>
        <v>0.58946704964042496</v>
      </c>
      <c r="J14" s="2"/>
    </row>
    <row r="15" spans="1:10" ht="15.75" customHeight="1">
      <c r="A15" s="25">
        <f>Main!$A$22</f>
        <v>25</v>
      </c>
      <c r="B15" s="30"/>
      <c r="C15" s="1"/>
      <c r="D15" s="30">
        <v>0.25</v>
      </c>
      <c r="E15" s="28">
        <f>EXP('CY08 Coeffs'!$I14+('CY08 Coeffs'!$J14*A$18+'CY08 Coeffs'!$K14*A$21+'CY08 Coeffs'!$P14*(A$27-4))*(1-A$45)+('CY08 Coeffs'!$T14+'CY08 Coeffs'!$Q14*(A$27-4))*A$45+'CY08 Coeffs'!$B14*(A$6-6)+('CY08 Coeffs'!$B14-'CY08 Coeffs'!$C14)/'CY08 Coeffs'!$L14*LN(1+EXP('CY08 Coeffs'!$L14*('CY08 Coeffs'!$M14-A$6)))+'CY08 Coeffs'!$D14*LN(A$9+'CY08 Coeffs'!$N14*COSH('CY08 Coeffs'!$O14*MAX(A$6-'CY08 Coeffs'!$G14,0)))+('CY08 Coeffs'!$E14-'CY08 Coeffs'!$D14)*LN(SQRT(A$9^2+'CY08 Coeffs'!$F14^2))+('CY08 Coeffs'!$U14+'CY08 Coeffs'!$V14/COSH(MAX(A$6-'CY08 Coeffs'!$H14,0)))*A$9+'CY08 Coeffs'!$R14*A$24*TANH(A$15*COS(A$30/180*PI())^2/'CY08 Coeffs'!$S14)*(1-SQRT(A$12^2+A$27^2)/(A$9+0.001)))</f>
        <v>0.28462980606096916</v>
      </c>
      <c r="F15" s="28">
        <f>$E15*EXP('CY08 Coeffs'!$W14*MIN(LN(A$33/1130),0)+'CY08 Coeffs'!$X14*(EXP('CY08 Coeffs'!$Y14*(MIN(A$33,1130)-360))-EXP('CY08 Coeffs'!$Y14*770))*LN(($E15+'CY08 Coeffs'!$Z14)/'CY08 Coeffs'!$Z14)+'CY08 Coeffs'!$AA14*(1-1/COSH('CY08 Coeffs'!$AB14*MAX(A$36-'CY08 Coeffs'!$AC14,0)))+'CY08 Coeffs'!$AD14/COSH(0.15*MIN(MAX(A$36-15,0),300)))</f>
        <v>0.348652406483488</v>
      </c>
      <c r="G15" s="14">
        <f>('CY08 Coeffs'!$AG14+(('CY08 Coeffs'!$AH14-'CY08 Coeffs'!$AG14)/2)*(MIN(MAX(A$6,5),7)-5)+'CY08 Coeffs'!$AJ14*A$45)*SQRT(('CY08 Coeffs'!$AI14*A$39+0.7*A$42)+(1+'CY08 Coeffs'!$X14*(EXP('CY08 Coeffs'!$Y14*(MIN(A$33,1130)-360))-EXP('CY08 Coeffs'!$Y14*770))*($E15/($E15+'CY08 Coeffs'!$Z14)))^2)</f>
        <v>0.51143295749989259</v>
      </c>
      <c r="H15" s="14">
        <f>'CY08 Coeffs'!$AE14+(('CY08 Coeffs'!$AF14-'CY08 Coeffs'!$AE14)/2)*(MIN(MAX(A$6,5),7)-5)</f>
        <v>0.30470000000000003</v>
      </c>
      <c r="I15" s="14">
        <f>SQRT(((1+'CY08 Coeffs'!$X14*(EXP('CY08 Coeffs'!$Y14*(MIN(A$33,1130)-360))-EXP('CY08 Coeffs'!$Y14*770))*($E15/($E15+'CY08 Coeffs'!$Z14)))^2)*$H15^2+$G15^2)</f>
        <v>0.5937443817024044</v>
      </c>
      <c r="J15" s="2"/>
    </row>
    <row r="16" spans="1:10" ht="15.75" customHeight="1">
      <c r="A16" s="16"/>
      <c r="B16" s="30"/>
      <c r="C16" s="1"/>
      <c r="D16" s="30">
        <v>0.3</v>
      </c>
      <c r="E16" s="28">
        <f>EXP('CY08 Coeffs'!$I15+('CY08 Coeffs'!$J15*A$18+'CY08 Coeffs'!$K15*A$21+'CY08 Coeffs'!$P15*(A$27-4))*(1-A$45)+('CY08 Coeffs'!$T15+'CY08 Coeffs'!$Q15*(A$27-4))*A$45+'CY08 Coeffs'!$B15*(A$6-6)+('CY08 Coeffs'!$B15-'CY08 Coeffs'!$C15)/'CY08 Coeffs'!$L15*LN(1+EXP('CY08 Coeffs'!$L15*('CY08 Coeffs'!$M15-A$6)))+'CY08 Coeffs'!$D15*LN(A$9+'CY08 Coeffs'!$N15*COSH('CY08 Coeffs'!$O15*MAX(A$6-'CY08 Coeffs'!$G15,0)))+('CY08 Coeffs'!$E15-'CY08 Coeffs'!$D15)*LN(SQRT(A$9^2+'CY08 Coeffs'!$F15^2))+('CY08 Coeffs'!$U15+'CY08 Coeffs'!$V15/COSH(MAX(A$6-'CY08 Coeffs'!$H15,0)))*A$9+'CY08 Coeffs'!$R15*A$24*TANH(A$15*COS(A$30/180*PI())^2/'CY08 Coeffs'!$S15)*(1-SQRT(A$12^2+A$27^2)/(A$9+0.001)))</f>
        <v>0.26306675918155903</v>
      </c>
      <c r="F16" s="28">
        <f>$E16*EXP('CY08 Coeffs'!$W15*MIN(LN(A$33/1130),0)+'CY08 Coeffs'!$X15*(EXP('CY08 Coeffs'!$Y15*(MIN(A$33,1130)-360))-EXP('CY08 Coeffs'!$Y15*770))*LN(($E16+'CY08 Coeffs'!$Z15)/'CY08 Coeffs'!$Z15)+'CY08 Coeffs'!$AA15*(1-1/COSH('CY08 Coeffs'!$AB15*MAX(A$36-'CY08 Coeffs'!$AC15,0)))+'CY08 Coeffs'!$AD15/COSH(0.15*MIN(MAX(A$36-15,0),300)))</f>
        <v>0.32268830847908797</v>
      </c>
      <c r="G16" s="14">
        <f>('CY08 Coeffs'!$AG15+(('CY08 Coeffs'!$AH15-'CY08 Coeffs'!$AG15)/2)*(MIN(MAX(A$6,5),7)-5)+'CY08 Coeffs'!$AJ15*A$45)*SQRT(('CY08 Coeffs'!$AI15*A$39+0.7*A$42)+(1+'CY08 Coeffs'!$X15*(EXP('CY08 Coeffs'!$Y15*(MIN(A$33,1130)-360))-EXP('CY08 Coeffs'!$Y15*770))*($E16/($E16+'CY08 Coeffs'!$Z15)))^2)</f>
        <v>0.51648727589289389</v>
      </c>
      <c r="H16" s="14">
        <f>'CY08 Coeffs'!$AE15+(('CY08 Coeffs'!$AF15-'CY08 Coeffs'!$AE15)/2)*(MIN(MAX(A$6,5),7)-5)</f>
        <v>0.30049999999999999</v>
      </c>
      <c r="I16" s="14">
        <f>SQRT(((1+'CY08 Coeffs'!$X15*(EXP('CY08 Coeffs'!$Y15*(MIN(A$33,1130)-360))-EXP('CY08 Coeffs'!$Y15*770))*($E16/($E16+'CY08 Coeffs'!$Z15)))^2)*$H16^2+$G16^2)</f>
        <v>0.59627344695407414</v>
      </c>
      <c r="J16" s="2"/>
    </row>
    <row r="17" spans="1:10" ht="15.75" customHeight="1">
      <c r="A17" s="5" t="s">
        <v>80</v>
      </c>
      <c r="B17" s="30"/>
      <c r="C17" s="1"/>
      <c r="D17" s="30">
        <v>0.4</v>
      </c>
      <c r="E17" s="28">
        <f>EXP('CY08 Coeffs'!$I16+('CY08 Coeffs'!$J16*A$18+'CY08 Coeffs'!$K16*A$21+'CY08 Coeffs'!$P16*(A$27-4))*(1-A$45)+('CY08 Coeffs'!$T16+'CY08 Coeffs'!$Q16*(A$27-4))*A$45+'CY08 Coeffs'!$B16*(A$6-6)+('CY08 Coeffs'!$B16-'CY08 Coeffs'!$C16)/'CY08 Coeffs'!$L16*LN(1+EXP('CY08 Coeffs'!$L16*('CY08 Coeffs'!$M16-A$6)))+'CY08 Coeffs'!$D16*LN(A$9+'CY08 Coeffs'!$N16*COSH('CY08 Coeffs'!$O16*MAX(A$6-'CY08 Coeffs'!$G16,0)))+('CY08 Coeffs'!$E16-'CY08 Coeffs'!$D16)*LN(SQRT(A$9^2+'CY08 Coeffs'!$F16^2))+('CY08 Coeffs'!$U16+'CY08 Coeffs'!$V16/COSH(MAX(A$6-'CY08 Coeffs'!$H16,0)))*A$9+'CY08 Coeffs'!$R16*A$24*TANH(A$15*COS(A$30/180*PI())^2/'CY08 Coeffs'!$S16)*(1-SQRT(A$12^2+A$27^2)/(A$9+0.001)))</f>
        <v>0.2206026180519913</v>
      </c>
      <c r="F17" s="28">
        <f>$E17*EXP('CY08 Coeffs'!$W16*MIN(LN(A$33/1130),0)+'CY08 Coeffs'!$X16*(EXP('CY08 Coeffs'!$Y16*(MIN(A$33,1130)-360))-EXP('CY08 Coeffs'!$Y16*770))*LN(($E17+'CY08 Coeffs'!$Z16)/'CY08 Coeffs'!$Z16)+'CY08 Coeffs'!$AA16*(1-1/COSH('CY08 Coeffs'!$AB16*MAX(A$36-'CY08 Coeffs'!$AC16,0)))+'CY08 Coeffs'!$AD16/COSH(0.15*MIN(MAX(A$36-15,0),300)))</f>
        <v>0.27391553016132975</v>
      </c>
      <c r="G17" s="14">
        <f>('CY08 Coeffs'!$AG16+(('CY08 Coeffs'!$AH16-'CY08 Coeffs'!$AG16)/2)*(MIN(MAX(A$6,5),7)-5)+'CY08 Coeffs'!$AJ16*A$45)*SQRT(('CY08 Coeffs'!$AI16*A$39+0.7*A$42)+(1+'CY08 Coeffs'!$X16*(EXP('CY08 Coeffs'!$Y16*(MIN(A$33,1130)-360))-EXP('CY08 Coeffs'!$Y16*770))*($E17/($E17+'CY08 Coeffs'!$Z16)))^2)</f>
        <v>0.52435640395191463</v>
      </c>
      <c r="H17" s="14">
        <f>'CY08 Coeffs'!$AE16+(('CY08 Coeffs'!$AF16-'CY08 Coeffs'!$AE16)/2)*(MIN(MAX(A$6,5),7)-5)</f>
        <v>0.2984</v>
      </c>
      <c r="I17" s="14">
        <f>SQRT(((1+'CY08 Coeffs'!$X16*(EXP('CY08 Coeffs'!$Y16*(MIN(A$33,1130)-360))-EXP('CY08 Coeffs'!$Y16*770))*($E17/($E17+'CY08 Coeffs'!$Z16)))^2)*$H17^2+$G17^2)</f>
        <v>0.60242527399302803</v>
      </c>
      <c r="J17" s="2"/>
    </row>
    <row r="18" spans="1:10" ht="15.75" customHeight="1">
      <c r="A18" s="17">
        <f>Main!$A$28</f>
        <v>0</v>
      </c>
      <c r="B18" s="30"/>
      <c r="C18" s="1"/>
      <c r="D18" s="30">
        <v>0.5</v>
      </c>
      <c r="E18" s="28">
        <f>EXP('CY08 Coeffs'!$I17+('CY08 Coeffs'!$J17*A$18+'CY08 Coeffs'!$K17*A$21+'CY08 Coeffs'!$P17*(A$27-4))*(1-A$45)+('CY08 Coeffs'!$T17+'CY08 Coeffs'!$Q17*(A$27-4))*A$45+'CY08 Coeffs'!$B17*(A$6-6)+('CY08 Coeffs'!$B17-'CY08 Coeffs'!$C17)/'CY08 Coeffs'!$L17*LN(1+EXP('CY08 Coeffs'!$L17*('CY08 Coeffs'!$M17-A$6)))+'CY08 Coeffs'!$D17*LN(A$9+'CY08 Coeffs'!$N17*COSH('CY08 Coeffs'!$O17*MAX(A$6-'CY08 Coeffs'!$G17,0)))+('CY08 Coeffs'!$E17-'CY08 Coeffs'!$D17)*LN(SQRT(A$9^2+'CY08 Coeffs'!$F17^2))+('CY08 Coeffs'!$U17+'CY08 Coeffs'!$V17/COSH(MAX(A$6-'CY08 Coeffs'!$H17,0)))*A$9+'CY08 Coeffs'!$R17*A$24*TANH(A$15*COS(A$30/180*PI())^2/'CY08 Coeffs'!$S17)*(1-SQRT(A$12^2+A$27^2)/(A$9+0.001)))</f>
        <v>0.18618209554542009</v>
      </c>
      <c r="F18" s="28">
        <f>$E18*EXP('CY08 Coeffs'!$W17*MIN(LN(A$33/1130),0)+'CY08 Coeffs'!$X17*(EXP('CY08 Coeffs'!$Y17*(MIN(A$33,1130)-360))-EXP('CY08 Coeffs'!$Y17*770))*LN(($E18+'CY08 Coeffs'!$Z17)/'CY08 Coeffs'!$Z17)+'CY08 Coeffs'!$AA17*(1-1/COSH('CY08 Coeffs'!$AB17*MAX(A$36-'CY08 Coeffs'!$AC17,0)))+'CY08 Coeffs'!$AD17/COSH(0.15*MIN(MAX(A$36-15,0),300)))</f>
        <v>0.23413410365856985</v>
      </c>
      <c r="G18" s="14">
        <f>('CY08 Coeffs'!$AG17+(('CY08 Coeffs'!$AH17-'CY08 Coeffs'!$AG17)/2)*(MIN(MAX(A$6,5),7)-5)+'CY08 Coeffs'!$AJ17*A$45)*SQRT(('CY08 Coeffs'!$AI17*A$39+0.7*A$42)+(1+'CY08 Coeffs'!$X17*(EXP('CY08 Coeffs'!$Y17*(MIN(A$33,1130)-360))-EXP('CY08 Coeffs'!$Y17*770))*($E18/($E18+'CY08 Coeffs'!$Z17)))^2)</f>
        <v>0.53041607643876698</v>
      </c>
      <c r="H18" s="14">
        <f>'CY08 Coeffs'!$AE17+(('CY08 Coeffs'!$AF17-'CY08 Coeffs'!$AE17)/2)*(MIN(MAX(A$6,5),7)-5)</f>
        <v>0.30359999999999998</v>
      </c>
      <c r="I18" s="14">
        <f>SQRT(((1+'CY08 Coeffs'!$X17*(EXP('CY08 Coeffs'!$Y17*(MIN(A$33,1130)-360))-EXP('CY08 Coeffs'!$Y17*770))*($E18/($E18+'CY08 Coeffs'!$Z17)))^2)*$H18^2+$G18^2)</f>
        <v>0.61047381540750756</v>
      </c>
      <c r="J18" s="2"/>
    </row>
    <row r="19" spans="1:10" ht="15.75" customHeight="1">
      <c r="A19" s="17"/>
      <c r="B19" s="31"/>
      <c r="C19" s="1"/>
      <c r="D19" s="30">
        <v>0.75</v>
      </c>
      <c r="E19" s="28">
        <f>EXP('CY08 Coeffs'!$I18+('CY08 Coeffs'!$J18*A$18+'CY08 Coeffs'!$K18*A$21+'CY08 Coeffs'!$P18*(A$27-4))*(1-A$45)+('CY08 Coeffs'!$T18+'CY08 Coeffs'!$Q18*(A$27-4))*A$45+'CY08 Coeffs'!$B18*(A$6-6)+('CY08 Coeffs'!$B18-'CY08 Coeffs'!$C18)/'CY08 Coeffs'!$L18*LN(1+EXP('CY08 Coeffs'!$L18*('CY08 Coeffs'!$M18-A$6)))+'CY08 Coeffs'!$D18*LN(A$9+'CY08 Coeffs'!$N18*COSH('CY08 Coeffs'!$O18*MAX(A$6-'CY08 Coeffs'!$G18,0)))+('CY08 Coeffs'!$E18-'CY08 Coeffs'!$D18)*LN(SQRT(A$9^2+'CY08 Coeffs'!$F18^2))+('CY08 Coeffs'!$U18+'CY08 Coeffs'!$V18/COSH(MAX(A$6-'CY08 Coeffs'!$H18,0)))*A$9+'CY08 Coeffs'!$R18*A$24*TANH(A$15*COS(A$30/180*PI())^2/'CY08 Coeffs'!$S18)*(1-SQRT(A$12^2+A$27^2)/(A$9+0.001)))</f>
        <v>0.13301519477147006</v>
      </c>
      <c r="F19" s="28">
        <f>$E19*EXP('CY08 Coeffs'!$W18*MIN(LN(A$33/1130),0)+'CY08 Coeffs'!$X18*(EXP('CY08 Coeffs'!$Y18*(MIN(A$33,1130)-360))-EXP('CY08 Coeffs'!$Y18*770))*LN(($E19+'CY08 Coeffs'!$Z18)/'CY08 Coeffs'!$Z18)+'CY08 Coeffs'!$AA18*(1-1/COSH('CY08 Coeffs'!$AB18*MAX(A$36-'CY08 Coeffs'!$AC18,0)))+'CY08 Coeffs'!$AD18/COSH(0.15*MIN(MAX(A$36-15,0),300)))</f>
        <v>0.17298504602134623</v>
      </c>
      <c r="G19" s="14">
        <f>('CY08 Coeffs'!$AG18+(('CY08 Coeffs'!$AH18-'CY08 Coeffs'!$AG18)/2)*(MIN(MAX(A$6,5),7)-5)+'CY08 Coeffs'!$AJ18*A$45)*SQRT(('CY08 Coeffs'!$AI18*A$39+0.7*A$42)+(1+'CY08 Coeffs'!$X18*(EXP('CY08 Coeffs'!$Y18*(MIN(A$33,1130)-360))-EXP('CY08 Coeffs'!$Y18*770))*($E19/($E19+'CY08 Coeffs'!$Z18)))^2)</f>
        <v>0.5412689513685166</v>
      </c>
      <c r="H19" s="14">
        <f>'CY08 Coeffs'!$AE18+(('CY08 Coeffs'!$AF18-'CY08 Coeffs'!$AE18)/2)*(MIN(MAX(A$6,5),7)-5)</f>
        <v>0.32050000000000001</v>
      </c>
      <c r="I19" s="14">
        <f>SQRT(((1+'CY08 Coeffs'!$X18*(EXP('CY08 Coeffs'!$Y18*(MIN(A$33,1130)-360))-EXP('CY08 Coeffs'!$Y18*770))*($E19/($E19+'CY08 Coeffs'!$Z18)))^2)*$H19^2+$G19^2)</f>
        <v>0.62866319270845961</v>
      </c>
      <c r="J19" s="2"/>
    </row>
    <row r="20" spans="1:10" ht="15.75" customHeight="1">
      <c r="A20" s="5" t="s">
        <v>81</v>
      </c>
      <c r="B20" s="31"/>
      <c r="C20" s="1"/>
      <c r="D20" s="31">
        <v>1</v>
      </c>
      <c r="E20" s="28">
        <f>EXP('CY08 Coeffs'!$I19+('CY08 Coeffs'!$J19*A$18+'CY08 Coeffs'!$K19*A$21+'CY08 Coeffs'!$P19*(A$27-4))*(1-A$45)+('CY08 Coeffs'!$T19+'CY08 Coeffs'!$Q19*(A$27-4))*A$45+'CY08 Coeffs'!$B19*(A$6-6)+('CY08 Coeffs'!$B19-'CY08 Coeffs'!$C19)/'CY08 Coeffs'!$L19*LN(1+EXP('CY08 Coeffs'!$L19*('CY08 Coeffs'!$M19-A$6)))+'CY08 Coeffs'!$D19*LN(A$9+'CY08 Coeffs'!$N19*COSH('CY08 Coeffs'!$O19*MAX(A$6-'CY08 Coeffs'!$G19,0)))+('CY08 Coeffs'!$E19-'CY08 Coeffs'!$D19)*LN(SQRT(A$9^2+'CY08 Coeffs'!$F19^2))+('CY08 Coeffs'!$U19+'CY08 Coeffs'!$V19/COSH(MAX(A$6-'CY08 Coeffs'!$H19,0)))*A$9+'CY08 Coeffs'!$R19*A$24*TANH(A$15*COS(A$30/180*PI())^2/'CY08 Coeffs'!$S19)*(1-SQRT(A$12^2+A$27^2)/(A$9+0.001)))</f>
        <v>0.10320967608532686</v>
      </c>
      <c r="F20" s="28">
        <f>$E20*EXP('CY08 Coeffs'!$W19*MIN(LN(A$33/1130),0)+'CY08 Coeffs'!$X19*(EXP('CY08 Coeffs'!$Y19*(MIN(A$33,1130)-360))-EXP('CY08 Coeffs'!$Y19*770))*LN(($E20+'CY08 Coeffs'!$Z19)/'CY08 Coeffs'!$Z19)+'CY08 Coeffs'!$AA19*(1-1/COSH('CY08 Coeffs'!$AB19*MAX(A$36-'CY08 Coeffs'!$AC19,0)))+'CY08 Coeffs'!$AD19/COSH(0.15*MIN(MAX(A$36-15,0),300)))</f>
        <v>0.13839866334552173</v>
      </c>
      <c r="G20" s="14">
        <f>('CY08 Coeffs'!$AG19+(('CY08 Coeffs'!$AH19-'CY08 Coeffs'!$AG19)/2)*(MIN(MAX(A$6,5),7)-5)+'CY08 Coeffs'!$AJ19*A$45)*SQRT(('CY08 Coeffs'!$AI19*A$39+0.7*A$42)+(1+'CY08 Coeffs'!$X19*(EXP('CY08 Coeffs'!$Y19*(MIN(A$33,1130)-360))-EXP('CY08 Coeffs'!$Y19*770))*($E20/($E20+'CY08 Coeffs'!$Z19)))^2)</f>
        <v>0.54883805463906221</v>
      </c>
      <c r="H20" s="14">
        <f>'CY08 Coeffs'!$AE19+(('CY08 Coeffs'!$AF19-'CY08 Coeffs'!$AE19)/2)*(MIN(MAX(A$6,5),7)-5)</f>
        <v>0.34189999999999998</v>
      </c>
      <c r="I20" s="14">
        <f>SQRT(((1+'CY08 Coeffs'!$X19*(EXP('CY08 Coeffs'!$Y19*(MIN(A$33,1130)-360))-EXP('CY08 Coeffs'!$Y19*770))*($E20/($E20+'CY08 Coeffs'!$Z19)))^2)*$H20^2+$G20^2)</f>
        <v>0.64635821826241213</v>
      </c>
      <c r="J20" s="2"/>
    </row>
    <row r="21" spans="1:10" ht="15.75" customHeight="1">
      <c r="A21" s="17">
        <f>Main!$A$31</f>
        <v>1</v>
      </c>
      <c r="B21" s="31"/>
      <c r="C21" s="1"/>
      <c r="D21" s="31">
        <v>1.5</v>
      </c>
      <c r="E21" s="28">
        <f>EXP('CY08 Coeffs'!$I20+('CY08 Coeffs'!$J20*A$18+'CY08 Coeffs'!$K20*A$21+'CY08 Coeffs'!$P20*(A$27-4))*(1-A$45)+('CY08 Coeffs'!$T20+'CY08 Coeffs'!$Q20*(A$27-4))*A$45+'CY08 Coeffs'!$B20*(A$6-6)+('CY08 Coeffs'!$B20-'CY08 Coeffs'!$C20)/'CY08 Coeffs'!$L20*LN(1+EXP('CY08 Coeffs'!$L20*('CY08 Coeffs'!$M20-A$6)))+'CY08 Coeffs'!$D20*LN(A$9+'CY08 Coeffs'!$N20*COSH('CY08 Coeffs'!$O20*MAX(A$6-'CY08 Coeffs'!$G20,0)))+('CY08 Coeffs'!$E20-'CY08 Coeffs'!$D20)*LN(SQRT(A$9^2+'CY08 Coeffs'!$F20^2))+('CY08 Coeffs'!$U20+'CY08 Coeffs'!$V20/COSH(MAX(A$6-'CY08 Coeffs'!$H20,0)))*A$9+'CY08 Coeffs'!$R20*A$24*TANH(A$15*COS(A$30/180*PI())^2/'CY08 Coeffs'!$S20)*(1-SQRT(A$12^2+A$27^2)/(A$9+0.001)))</f>
        <v>6.7944542146778711E-2</v>
      </c>
      <c r="F21" s="28">
        <f>$E21*EXP('CY08 Coeffs'!$W20*MIN(LN(A$33/1130),0)+'CY08 Coeffs'!$X20*(EXP('CY08 Coeffs'!$Y20*(MIN(A$33,1130)-360))-EXP('CY08 Coeffs'!$Y20*770))*LN(($E21+'CY08 Coeffs'!$Z20)/'CY08 Coeffs'!$Z20)+'CY08 Coeffs'!$AA20*(1-1/COSH('CY08 Coeffs'!$AB20*MAX(A$36-'CY08 Coeffs'!$AC20,0)))+'CY08 Coeffs'!$AD20/COSH(0.15*MIN(MAX(A$36-15,0),300)))</f>
        <v>9.522901394655249E-2</v>
      </c>
      <c r="G21" s="14">
        <f>('CY08 Coeffs'!$AG20+(('CY08 Coeffs'!$AH20-'CY08 Coeffs'!$AG20)/2)*(MIN(MAX(A$6,5),7)-5)+'CY08 Coeffs'!$AJ20*A$45)*SQRT(('CY08 Coeffs'!$AI20*A$39+0.7*A$42)+(1+'CY08 Coeffs'!$X20*(EXP('CY08 Coeffs'!$Y20*(MIN(A$33,1130)-360))-EXP('CY08 Coeffs'!$Y20*770))*($E21/($E21+'CY08 Coeffs'!$Z20)))^2)</f>
        <v>0.54890408143448333</v>
      </c>
      <c r="H21" s="14">
        <f>'CY08 Coeffs'!$AE20+(('CY08 Coeffs'!$AF20-'CY08 Coeffs'!$AE20)/2)*(MIN(MAX(A$6,5),7)-5)</f>
        <v>0.37030000000000002</v>
      </c>
      <c r="I21" s="14">
        <f>SQRT(((1+'CY08 Coeffs'!$X20*(EXP('CY08 Coeffs'!$Y20*(MIN(A$33,1130)-360))-EXP('CY08 Coeffs'!$Y20*770))*($E21/($E21+'CY08 Coeffs'!$Z20)))^2)*$H21^2+$G21^2)</f>
        <v>0.66187241421152787</v>
      </c>
      <c r="J21" s="2"/>
    </row>
    <row r="22" spans="1:10" ht="15.75" customHeight="1">
      <c r="A22" s="17"/>
      <c r="B22" s="31"/>
      <c r="C22" s="1"/>
      <c r="D22" s="31">
        <v>2</v>
      </c>
      <c r="E22" s="28">
        <f>EXP('CY08 Coeffs'!$I21+('CY08 Coeffs'!$J21*A$18+'CY08 Coeffs'!$K21*A$21+'CY08 Coeffs'!$P21*(A$27-4))*(1-A$45)+('CY08 Coeffs'!$T21+'CY08 Coeffs'!$Q21*(A$27-4))*A$45+'CY08 Coeffs'!$B21*(A$6-6)+('CY08 Coeffs'!$B21-'CY08 Coeffs'!$C21)/'CY08 Coeffs'!$L21*LN(1+EXP('CY08 Coeffs'!$L21*('CY08 Coeffs'!$M21-A$6)))+'CY08 Coeffs'!$D21*LN(A$9+'CY08 Coeffs'!$N21*COSH('CY08 Coeffs'!$O21*MAX(A$6-'CY08 Coeffs'!$G21,0)))+('CY08 Coeffs'!$E21-'CY08 Coeffs'!$D21)*LN(SQRT(A$9^2+'CY08 Coeffs'!$F21^2))+('CY08 Coeffs'!$U21+'CY08 Coeffs'!$V21/COSH(MAX(A$6-'CY08 Coeffs'!$H21,0)))*A$9+'CY08 Coeffs'!$R21*A$24*TANH(A$15*COS(A$30/180*PI())^2/'CY08 Coeffs'!$S21)*(1-SQRT(A$12^2+A$27^2)/(A$9+0.001)))</f>
        <v>4.6857227132991092E-2</v>
      </c>
      <c r="F22" s="28">
        <f>$E22*EXP('CY08 Coeffs'!$W21*MIN(LN(A$33/1130),0)+'CY08 Coeffs'!$X21*(EXP('CY08 Coeffs'!$Y21*(MIN(A$33,1130)-360))-EXP('CY08 Coeffs'!$Y21*770))*LN(($E22+'CY08 Coeffs'!$Z21)/'CY08 Coeffs'!$Z21)+'CY08 Coeffs'!$AA21*(1-1/COSH('CY08 Coeffs'!$AB21*MAX(A$36-'CY08 Coeffs'!$AC21,0)))+'CY08 Coeffs'!$AD21/COSH(0.15*MIN(MAX(A$36-15,0),300)))</f>
        <v>6.7645286784249359E-2</v>
      </c>
      <c r="G22" s="14">
        <f>('CY08 Coeffs'!$AG21+(('CY08 Coeffs'!$AH21-'CY08 Coeffs'!$AG21)/2)*(MIN(MAX(A$6,5),7)-5)+'CY08 Coeffs'!$AJ21*A$45)*SQRT(('CY08 Coeffs'!$AI21*A$39+0.7*A$42)+(1+'CY08 Coeffs'!$X21*(EXP('CY08 Coeffs'!$Y21*(MIN(A$33,1130)-360))-EXP('CY08 Coeffs'!$Y21*770))*($E22/($E22+'CY08 Coeffs'!$Z21)))^2)</f>
        <v>0.54846981493632674</v>
      </c>
      <c r="H22" s="14">
        <f>'CY08 Coeffs'!$AE21+(('CY08 Coeffs'!$AF21-'CY08 Coeffs'!$AE21)/2)*(MIN(MAX(A$6,5),7)-5)</f>
        <v>0.40229999999999999</v>
      </c>
      <c r="I22" s="14">
        <f>SQRT(((1+'CY08 Coeffs'!$X21*(EXP('CY08 Coeffs'!$Y21*(MIN(A$33,1130)-360))-EXP('CY08 Coeffs'!$Y21*770))*($E22/($E22+'CY08 Coeffs'!$Z21)))^2)*$H22^2+$G22^2)</f>
        <v>0.67957737954345565</v>
      </c>
      <c r="J22" s="2"/>
    </row>
    <row r="23" spans="1:10" ht="15.75" customHeight="1">
      <c r="A23" s="5" t="s">
        <v>82</v>
      </c>
      <c r="B23" s="31"/>
      <c r="C23" s="1"/>
      <c r="D23" s="31">
        <v>3</v>
      </c>
      <c r="E23" s="28">
        <f>EXP('CY08 Coeffs'!$I22+('CY08 Coeffs'!$J22*A$18+'CY08 Coeffs'!$K22*A$21+'CY08 Coeffs'!$P22*(A$27-4))*(1-A$45)+('CY08 Coeffs'!$T22+'CY08 Coeffs'!$Q22*(A$27-4))*A$45+'CY08 Coeffs'!$B22*(A$6-6)+('CY08 Coeffs'!$B22-'CY08 Coeffs'!$C22)/'CY08 Coeffs'!$L22*LN(1+EXP('CY08 Coeffs'!$L22*('CY08 Coeffs'!$M22-A$6)))+'CY08 Coeffs'!$D22*LN(A$9+'CY08 Coeffs'!$N22*COSH('CY08 Coeffs'!$O22*MAX(A$6-'CY08 Coeffs'!$G22,0)))+('CY08 Coeffs'!$E22-'CY08 Coeffs'!$D22)*LN(SQRT(A$9^2+'CY08 Coeffs'!$F22^2))+('CY08 Coeffs'!$U22+'CY08 Coeffs'!$V22/COSH(MAX(A$6-'CY08 Coeffs'!$H22,0)))*A$9+'CY08 Coeffs'!$R22*A$24*TANH(A$15*COS(A$30/180*PI())^2/'CY08 Coeffs'!$S22)*(1-SQRT(A$12^2+A$27^2)/(A$9+0.001)))</f>
        <v>2.6962062819012318E-2</v>
      </c>
      <c r="F23" s="28">
        <f>$E23*EXP('CY08 Coeffs'!$W22*MIN(LN(A$33/1130),0)+'CY08 Coeffs'!$X22*(EXP('CY08 Coeffs'!$Y22*(MIN(A$33,1130)-360))-EXP('CY08 Coeffs'!$Y22*770))*LN(($E23+'CY08 Coeffs'!$Z22)/'CY08 Coeffs'!$Z22)+'CY08 Coeffs'!$AA22*(1-1/COSH('CY08 Coeffs'!$AB22*MAX(A$36-'CY08 Coeffs'!$AC22,0)))+'CY08 Coeffs'!$AD22/COSH(0.15*MIN(MAX(A$36-15,0),300)))</f>
        <v>4.0940312931994523E-2</v>
      </c>
      <c r="G23" s="14">
        <f>('CY08 Coeffs'!$AG22+(('CY08 Coeffs'!$AH22-'CY08 Coeffs'!$AG22)/2)*(MIN(MAX(A$6,5),7)-5)+'CY08 Coeffs'!$AJ22*A$45)*SQRT(('CY08 Coeffs'!$AI22*A$39+0.7*A$42)+(1+'CY08 Coeffs'!$X22*(EXP('CY08 Coeffs'!$Y22*(MIN(A$33,1130)-360))-EXP('CY08 Coeffs'!$Y22*770))*($E23/($E23+'CY08 Coeffs'!$Z22)))^2)</f>
        <v>0.54858194526309756</v>
      </c>
      <c r="H23" s="14">
        <f>'CY08 Coeffs'!$AE22+(('CY08 Coeffs'!$AF22-'CY08 Coeffs'!$AE22)/2)*(MIN(MAX(A$6,5),7)-5)</f>
        <v>0.44059999999999999</v>
      </c>
      <c r="I23" s="14">
        <f>SQRT(((1+'CY08 Coeffs'!$X22*(EXP('CY08 Coeffs'!$Y22*(MIN(A$33,1130)-360))-EXP('CY08 Coeffs'!$Y22*770))*($E23/($E23+'CY08 Coeffs'!$Z22)))^2)*$H23^2+$G23^2)</f>
        <v>0.70299266155904239</v>
      </c>
      <c r="J23" s="2"/>
    </row>
    <row r="24" spans="1:10" ht="15.75" customHeight="1">
      <c r="A24" s="17">
        <f>Main!$A$34</f>
        <v>0</v>
      </c>
      <c r="B24" s="31"/>
      <c r="C24" s="1"/>
      <c r="D24" s="31">
        <v>4</v>
      </c>
      <c r="E24" s="28">
        <f>EXP('CY08 Coeffs'!$I23+('CY08 Coeffs'!$J23*A$18+'CY08 Coeffs'!$K23*A$21+'CY08 Coeffs'!$P23*(A$27-4))*(1-A$45)+('CY08 Coeffs'!$T23+'CY08 Coeffs'!$Q23*(A$27-4))*A$45+'CY08 Coeffs'!$B23*(A$6-6)+('CY08 Coeffs'!$B23-'CY08 Coeffs'!$C23)/'CY08 Coeffs'!$L23*LN(1+EXP('CY08 Coeffs'!$L23*('CY08 Coeffs'!$M23-A$6)))+'CY08 Coeffs'!$D23*LN(A$9+'CY08 Coeffs'!$N23*COSH('CY08 Coeffs'!$O23*MAX(A$6-'CY08 Coeffs'!$G23,0)))+('CY08 Coeffs'!$E23-'CY08 Coeffs'!$D23)*LN(SQRT(A$9^2+'CY08 Coeffs'!$F23^2))+('CY08 Coeffs'!$U23+'CY08 Coeffs'!$V23/COSH(MAX(A$6-'CY08 Coeffs'!$H23,0)))*A$9+'CY08 Coeffs'!$R23*A$24*TANH(A$15*COS(A$30/180*PI())^2/'CY08 Coeffs'!$S23)*(1-SQRT(A$12^2+A$27^2)/(A$9+0.001)))</f>
        <v>1.775476600741107E-2</v>
      </c>
      <c r="F24" s="28">
        <f>$E24*EXP('CY08 Coeffs'!$W23*MIN(LN(A$33/1130),0)+'CY08 Coeffs'!$X23*(EXP('CY08 Coeffs'!$Y23*(MIN(A$33,1130)-360))-EXP('CY08 Coeffs'!$Y23*770))*LN(($E24+'CY08 Coeffs'!$Z23)/'CY08 Coeffs'!$Z23)+'CY08 Coeffs'!$AA23*(1-1/COSH('CY08 Coeffs'!$AB23*MAX(A$36-'CY08 Coeffs'!$AC23,0)))+'CY08 Coeffs'!$AD23/COSH(0.15*MIN(MAX(A$36-15,0),300)))</f>
        <v>2.8164771338011263E-2</v>
      </c>
      <c r="G24" s="14">
        <f>('CY08 Coeffs'!$AG23+(('CY08 Coeffs'!$AH23-'CY08 Coeffs'!$AG23)/2)*(MIN(MAX(A$6,5),7)-5)+'CY08 Coeffs'!$AJ23*A$45)*SQRT(('CY08 Coeffs'!$AI23*A$39+0.7*A$42)+(1+'CY08 Coeffs'!$X23*(EXP('CY08 Coeffs'!$Y23*(MIN(A$33,1130)-360))-EXP('CY08 Coeffs'!$Y23*770))*($E24/($E24+'CY08 Coeffs'!$Z23)))^2)</f>
        <v>0.5492150497399666</v>
      </c>
      <c r="H24" s="14">
        <f>'CY08 Coeffs'!$AE23+(('CY08 Coeffs'!$AF23-'CY08 Coeffs'!$AE23)/2)*(MIN(MAX(A$6,5),7)-5)</f>
        <v>0.47839999999999999</v>
      </c>
      <c r="I24" s="14">
        <f>SQRT(((1+'CY08 Coeffs'!$X23*(EXP('CY08 Coeffs'!$Y23*(MIN(A$33,1130)-360))-EXP('CY08 Coeffs'!$Y23*770))*($E24/($E24+'CY08 Coeffs'!$Z23)))^2)*$H24^2+$G24^2)</f>
        <v>0.72826648748820577</v>
      </c>
      <c r="J24" s="2"/>
    </row>
    <row r="25" spans="1:10" ht="15.75" customHeight="1">
      <c r="A25" s="16"/>
      <c r="B25" s="31"/>
      <c r="C25" s="1"/>
      <c r="D25" s="31">
        <v>5</v>
      </c>
      <c r="E25" s="28">
        <f>EXP('CY08 Coeffs'!$I24+('CY08 Coeffs'!$J24*A$18+'CY08 Coeffs'!$K24*A$21+'CY08 Coeffs'!$P24*(A$27-4))*(1-A$45)+('CY08 Coeffs'!$T24+'CY08 Coeffs'!$Q24*(A$27-4))*A$45+'CY08 Coeffs'!$B24*(A$6-6)+('CY08 Coeffs'!$B24-'CY08 Coeffs'!$C24)/'CY08 Coeffs'!$L24*LN(1+EXP('CY08 Coeffs'!$L24*('CY08 Coeffs'!$M24-A$6)))+'CY08 Coeffs'!$D24*LN(A$9+'CY08 Coeffs'!$N24*COSH('CY08 Coeffs'!$O24*MAX(A$6-'CY08 Coeffs'!$G24,0)))+('CY08 Coeffs'!$E24-'CY08 Coeffs'!$D24)*LN(SQRT(A$9^2+'CY08 Coeffs'!$F24^2))+('CY08 Coeffs'!$U24+'CY08 Coeffs'!$V24/COSH(MAX(A$6-'CY08 Coeffs'!$H24,0)))*A$9+'CY08 Coeffs'!$R24*A$24*TANH(A$15*COS(A$30/180*PI())^2/'CY08 Coeffs'!$S24)*(1-SQRT(A$12^2+A$27^2)/(A$9+0.001)))</f>
        <v>1.2769900336513228E-2</v>
      </c>
      <c r="F25" s="28">
        <f>$E25*EXP('CY08 Coeffs'!$W24*MIN(LN(A$33/1130),0)+'CY08 Coeffs'!$X24*(EXP('CY08 Coeffs'!$Y24*(MIN(A$33,1130)-360))-EXP('CY08 Coeffs'!$Y24*770))*LN(($E25+'CY08 Coeffs'!$Z24)/'CY08 Coeffs'!$Z24)+'CY08 Coeffs'!$AA24*(1-1/COSH('CY08 Coeffs'!$AB24*MAX(A$36-'CY08 Coeffs'!$AC24,0)))+'CY08 Coeffs'!$AD24/COSH(0.15*MIN(MAX(A$36-15,0),300)))</f>
        <v>2.0721464368590493E-2</v>
      </c>
      <c r="G25" s="14">
        <f>('CY08 Coeffs'!$AG24+(('CY08 Coeffs'!$AH24-'CY08 Coeffs'!$AG24)/2)*(MIN(MAX(A$6,5),7)-5)+'CY08 Coeffs'!$AJ24*A$45)*SQRT(('CY08 Coeffs'!$AI24*A$39+0.7*A$42)+(1+'CY08 Coeffs'!$X24*(EXP('CY08 Coeffs'!$Y24*(MIN(A$33,1130)-360))-EXP('CY08 Coeffs'!$Y24*770))*($E25/($E25+'CY08 Coeffs'!$Z24)))^2)</f>
        <v>0.54930799466237523</v>
      </c>
      <c r="H25" s="14">
        <f>'CY08 Coeffs'!$AE24+(('CY08 Coeffs'!$AF24-'CY08 Coeffs'!$AE24)/2)*(MIN(MAX(A$6,5),7)-5)</f>
        <v>0.50739999999999996</v>
      </c>
      <c r="I25" s="14">
        <f>SQRT(((1+'CY08 Coeffs'!$X24*(EXP('CY08 Coeffs'!$Y24*(MIN(A$33,1130)-360))-EXP('CY08 Coeffs'!$Y24*770))*($E25/($E25+'CY08 Coeffs'!$Z24)))^2)*$H25^2+$G25^2)</f>
        <v>0.74779277410255851</v>
      </c>
      <c r="J25" s="2"/>
    </row>
    <row r="26" spans="1:10" ht="15.75" customHeight="1">
      <c r="A26" s="5" t="s">
        <v>83</v>
      </c>
      <c r="B26" s="31"/>
      <c r="C26" s="1"/>
      <c r="D26" s="31">
        <v>7.5</v>
      </c>
      <c r="E26" s="28">
        <f>EXP('CY08 Coeffs'!$I25+('CY08 Coeffs'!$J25*A$18+'CY08 Coeffs'!$K25*A$21+'CY08 Coeffs'!$P25*(A$27-4))*(1-A$45)+('CY08 Coeffs'!$T25+'CY08 Coeffs'!$Q25*(A$27-4))*A$45+'CY08 Coeffs'!$B25*(A$6-6)+('CY08 Coeffs'!$B25-'CY08 Coeffs'!$C25)/'CY08 Coeffs'!$L25*LN(1+EXP('CY08 Coeffs'!$L25*('CY08 Coeffs'!$M25-A$6)))+'CY08 Coeffs'!$D25*LN(A$9+'CY08 Coeffs'!$N25*COSH('CY08 Coeffs'!$O25*MAX(A$6-'CY08 Coeffs'!$G25,0)))+('CY08 Coeffs'!$E25-'CY08 Coeffs'!$D25)*LN(SQRT(A$9^2+'CY08 Coeffs'!$F25^2))+('CY08 Coeffs'!$U25+'CY08 Coeffs'!$V25/COSH(MAX(A$6-'CY08 Coeffs'!$H25,0)))*A$9+'CY08 Coeffs'!$R25*A$24*TANH(A$15*COS(A$30/180*PI())^2/'CY08 Coeffs'!$S25)*(1-SQRT(A$12^2+A$27^2)/(A$9+0.001)))</f>
        <v>6.8746263508249975E-3</v>
      </c>
      <c r="F26" s="28">
        <f>$E26*EXP('CY08 Coeffs'!$W25*MIN(LN(A$33/1130),0)+'CY08 Coeffs'!$X25*(EXP('CY08 Coeffs'!$Y25*(MIN(A$33,1130)-360))-EXP('CY08 Coeffs'!$Y25*770))*LN(($E26+'CY08 Coeffs'!$Z25)/'CY08 Coeffs'!$Z25)+'CY08 Coeffs'!$AA25*(1-1/COSH('CY08 Coeffs'!$AB25*MAX(A$36-'CY08 Coeffs'!$AC25,0)))+'CY08 Coeffs'!$AD25/COSH(0.15*MIN(MAX(A$36-15,0),300)))</f>
        <v>1.0978970939642908E-2</v>
      </c>
      <c r="G26" s="14">
        <f>('CY08 Coeffs'!$AG25+(('CY08 Coeffs'!$AH25-'CY08 Coeffs'!$AG25)/2)*(MIN(MAX(A$6,5),7)-5)+'CY08 Coeffs'!$AJ25*A$45)*SQRT(('CY08 Coeffs'!$AI25*A$39+0.7*A$42)+(1+'CY08 Coeffs'!$X25*(EXP('CY08 Coeffs'!$Y25*(MIN(A$33,1130)-360))-EXP('CY08 Coeffs'!$Y25*770))*($E26/($E26+'CY08 Coeffs'!$Z25)))^2)</f>
        <v>0.54930799466237523</v>
      </c>
      <c r="H26" s="14">
        <f>'CY08 Coeffs'!$AE25+(('CY08 Coeffs'!$AF25-'CY08 Coeffs'!$AE25)/2)*(MIN(MAX(A$6,5),7)-5)</f>
        <v>0.53280000000000005</v>
      </c>
      <c r="I26" s="14">
        <f>SQRT(((1+'CY08 Coeffs'!$X25*(EXP('CY08 Coeffs'!$Y25*(MIN(A$33,1130)-360))-EXP('CY08 Coeffs'!$Y25*770))*($E26/($E26+'CY08 Coeffs'!$Z25)))^2)*$H26^2+$G26^2)</f>
        <v>0.7652549333392108</v>
      </c>
      <c r="J26" s="2"/>
    </row>
    <row r="27" spans="1:10" ht="15.75" customHeight="1">
      <c r="A27" s="25">
        <f>Main!$A$37</f>
        <v>0</v>
      </c>
      <c r="B27" s="16"/>
      <c r="C27" s="1"/>
      <c r="D27" s="31">
        <v>10</v>
      </c>
      <c r="E27" s="28">
        <f>EXP('CY08 Coeffs'!$I26+('CY08 Coeffs'!$J26*A$18+'CY08 Coeffs'!$K26*A$21+'CY08 Coeffs'!$P26*(A$27-4))*(1-A$45)+('CY08 Coeffs'!$T26+'CY08 Coeffs'!$Q26*(A$27-4))*A$45+'CY08 Coeffs'!$B26*(A$6-6)+('CY08 Coeffs'!$B26-'CY08 Coeffs'!$C26)/'CY08 Coeffs'!$L26*LN(1+EXP('CY08 Coeffs'!$L26*('CY08 Coeffs'!$M26-A$6)))+'CY08 Coeffs'!$D26*LN(A$9+'CY08 Coeffs'!$N26*COSH('CY08 Coeffs'!$O26*MAX(A$6-'CY08 Coeffs'!$G26,0)))+('CY08 Coeffs'!$E26-'CY08 Coeffs'!$D26)*LN(SQRT(A$9^2+'CY08 Coeffs'!$F26^2))+('CY08 Coeffs'!$U26+'CY08 Coeffs'!$V26/COSH(MAX(A$6-'CY08 Coeffs'!$H26,0)))*A$9+'CY08 Coeffs'!$R26*A$24*TANH(A$15*COS(A$30/180*PI())^2/'CY08 Coeffs'!$S26)*(1-SQRT(A$12^2+A$27^2)/(A$9+0.001)))</f>
        <v>4.2167449023768544E-3</v>
      </c>
      <c r="F27" s="28">
        <f>$E27*EXP('CY08 Coeffs'!$W26*MIN(LN(A$33/1130),0)+'CY08 Coeffs'!$X26*(EXP('CY08 Coeffs'!$Y26*(MIN(A$33,1130)-360))-EXP('CY08 Coeffs'!$Y26*770))*LN(($E27+'CY08 Coeffs'!$Z26)/'CY08 Coeffs'!$Z26)+'CY08 Coeffs'!$AA26*(1-1/COSH('CY08 Coeffs'!$AB26*MAX(A$36-'CY08 Coeffs'!$AC26,0)))+'CY08 Coeffs'!$AD26/COSH(0.15*MIN(MAX(A$36-15,0),300)))</f>
        <v>6.4761164339382374E-3</v>
      </c>
      <c r="G27" s="14">
        <f>('CY08 Coeffs'!$AG26+(('CY08 Coeffs'!$AH26-'CY08 Coeffs'!$AG26)/2)*(MIN(MAX(A$6,5),7)-5)+'CY08 Coeffs'!$AJ26*A$45)*SQRT(('CY08 Coeffs'!$AI26*A$39+0.7*A$42)+(1+'CY08 Coeffs'!$X26*(EXP('CY08 Coeffs'!$Y26*(MIN(A$33,1130)-360))-EXP('CY08 Coeffs'!$Y26*770))*($E27/($E27+'CY08 Coeffs'!$Z26)))^2)</f>
        <v>0.54930799466237523</v>
      </c>
      <c r="H27" s="14">
        <f>'CY08 Coeffs'!$AE26+(('CY08 Coeffs'!$AF26-'CY08 Coeffs'!$AE26)/2)*(MIN(MAX(A$6,5),7)-5)</f>
        <v>0.55420000000000003</v>
      </c>
      <c r="I27" s="14">
        <f>SQRT(((1+'CY08 Coeffs'!$X26*(EXP('CY08 Coeffs'!$Y26*(MIN(A$33,1130)-360))-EXP('CY08 Coeffs'!$Y26*770))*($E27/($E27+'CY08 Coeffs'!$Z26)))^2)*$H27^2+$G27^2)</f>
        <v>0.78030565357429005</v>
      </c>
      <c r="J27" s="2"/>
    </row>
    <row r="28" spans="1:10" ht="15.75" customHeight="1">
      <c r="A28" s="25"/>
      <c r="B28" s="16"/>
      <c r="C28" s="16"/>
      <c r="D28" s="31"/>
      <c r="E28" s="28"/>
      <c r="F28" s="28"/>
      <c r="G28" s="14"/>
      <c r="H28" s="14"/>
      <c r="I28" s="14"/>
      <c r="J28" s="2"/>
    </row>
    <row r="29" spans="1:10" ht="15.75" customHeight="1">
      <c r="A29" s="23" t="s">
        <v>166</v>
      </c>
      <c r="B29" s="16"/>
      <c r="C29" s="1" t="s">
        <v>31</v>
      </c>
      <c r="D29" s="32">
        <v>0</v>
      </c>
      <c r="E29" s="28">
        <f>EXP('CY08 Coeffs'!$I27+('CY08 Coeffs'!$J27*A$18+'CY08 Coeffs'!$K27*A$21+'CY08 Coeffs'!$P27*(A$27-4))*(1-A$45)+('CY08 Coeffs'!$T27+'CY08 Coeffs'!$Q27*(A$27-4))*A$45+'CY08 Coeffs'!$B27*(A$6-6)+('CY08 Coeffs'!$B27-'CY08 Coeffs'!$C27)/'CY08 Coeffs'!$L27*LN(1+EXP('CY08 Coeffs'!$L27*('CY08 Coeffs'!$M27-A$6)))+'CY08 Coeffs'!$D27*LN(A$9+'CY08 Coeffs'!$N27*COSH('CY08 Coeffs'!$O27*MAX(A$6-'CY08 Coeffs'!$G27,0)))+('CY08 Coeffs'!$E27-'CY08 Coeffs'!$D27)*LN(SQRT(A$9^2+'CY08 Coeffs'!$F27^2))+('CY08 Coeffs'!$U27+'CY08 Coeffs'!$V27/COSH(MAX(A$6-'CY08 Coeffs'!$H27,0)))*A$9+'CY08 Coeffs'!$R27*A$24*TANH(A$15*COS(A$30/180*PI())^2/'CY08 Coeffs'!$S27)*(1-SQRT(A$12^2+A$27^2)/(A$9+0.001)))</f>
        <v>0.13451760664315349</v>
      </c>
      <c r="F29" s="28">
        <f>$E29*EXP('CY08 Coeffs'!$W27*MIN(LN(A$33/1130),0)+'CY08 Coeffs'!$X27*(EXP('CY08 Coeffs'!$Y27*(MIN(A$33,1130)-360))-EXP('CY08 Coeffs'!$Y27*770))*LN(($E29+'CY08 Coeffs'!$Z27)/'CY08 Coeffs'!$Z27)+'CY08 Coeffs'!$AA27*(1-1/COSH('CY08 Coeffs'!$AB27*MAX(A$36-'CY08 Coeffs'!$AC27,0)))+'CY08 Coeffs'!$AD27/COSH(0.15*MIN(MAX(A$36-15,0),300)))</f>
        <v>0.16505906870976753</v>
      </c>
      <c r="G29" s="14">
        <f>('CY08 Coeffs'!$AG27+(('CY08 Coeffs'!$AH27-'CY08 Coeffs'!$AG27)/2)*(MIN(MAX(A$6,5),7)-5)+'CY08 Coeffs'!$AJ27*A$45)*SQRT(('CY08 Coeffs'!$AI27*A$39+0.7*A$42)+(1+'CY08 Coeffs'!$X27*(EXP('CY08 Coeffs'!$Y27*(MIN(A$33,1130)-360))-EXP('CY08 Coeffs'!$Y27*770))*($E29/($E29+'CY08 Coeffs'!$Z27)))^2)</f>
        <v>0.44980214949047082</v>
      </c>
      <c r="H29" s="14">
        <f>'CY08 Coeffs'!$AE27+(('CY08 Coeffs'!$AF27-'CY08 Coeffs'!$AE27)/2)*(MIN(MAX(A$6,5),7)-5)</f>
        <v>0.26369999999999999</v>
      </c>
      <c r="I29" s="14">
        <f>SQRT(((1+'CY08 Coeffs'!$X27*(EXP('CY08 Coeffs'!$Y27*(MIN(A$33,1130)-360))-EXP('CY08 Coeffs'!$Y27*770))*($E29/($E29+'CY08 Coeffs'!$Z27)))^2)*$H29^2+$G29^2)</f>
        <v>0.52080070081636254</v>
      </c>
      <c r="J29" s="2"/>
    </row>
    <row r="30" spans="1:10" ht="15.75" customHeight="1">
      <c r="A30" s="17">
        <f>Main!$A$40</f>
        <v>90</v>
      </c>
      <c r="B30" s="16"/>
      <c r="C30" s="1" t="s">
        <v>59</v>
      </c>
      <c r="D30" s="32">
        <v>-1</v>
      </c>
      <c r="E30" s="28">
        <f>EXP('CY08 Coeffs'!$I28+('CY08 Coeffs'!$J28*A$18+'CY08 Coeffs'!$K28*A$21+'CY08 Coeffs'!$P28*(A$27-4))*(1-A$45)+('CY08 Coeffs'!$T28+'CY08 Coeffs'!$Q28*(A$27-4))*A$45+'CY08 Coeffs'!$B28*(A$6-6)+('CY08 Coeffs'!$B28-'CY08 Coeffs'!$C28)/'CY08 Coeffs'!$L28*LN(1+EXP('CY08 Coeffs'!$L28*('CY08 Coeffs'!$M28-A$6)))+'CY08 Coeffs'!$D28*LN(A$9+'CY08 Coeffs'!$N28*COSH('CY08 Coeffs'!$O28*MAX(A$6-'CY08 Coeffs'!$G28,0)))+('CY08 Coeffs'!$E28-'CY08 Coeffs'!$D28)*LN(SQRT(A$9^2+'CY08 Coeffs'!$F28^2))+('CY08 Coeffs'!$U28+'CY08 Coeffs'!$V28/COSH(MAX(A$6-'CY08 Coeffs'!$H28,0)))*A$9+'CY08 Coeffs'!$R28*A$24*TANH(A$15*COS(A$30/180*PI())^2/'CY08 Coeffs'!$S28)*(1-SQRT(A$12^2+A$27^2)/(A$9+0.001)))</f>
        <v>11.742829478865929</v>
      </c>
      <c r="F30" s="28">
        <f>$E30*EXP('CY08 Coeffs'!$W28*MIN(LN(A$33/1130),0)+'CY08 Coeffs'!$X28*(EXP('CY08 Coeffs'!$Y28*(MIN(A$33,1130)-360))-EXP('CY08 Coeffs'!$Y28*770))*LN(($E30+'CY08 Coeffs'!$Z28)/'CY08 Coeffs'!$Z28)+'CY08 Coeffs'!$AA28*(1-1/COSH('CY08 Coeffs'!$AB28*MAX(A$36-'CY08 Coeffs'!$AC28,0)))+'CY08 Coeffs'!$AD28/COSH(0.15*MIN(MAX(A$36-15,0),300)))</f>
        <v>16.963664982534194</v>
      </c>
      <c r="G30" s="14">
        <f>('CY08 Coeffs'!$AG28+(('CY08 Coeffs'!$AH28-'CY08 Coeffs'!$AG28)/2)*(MIN(MAX(A$6,5),7)-5)+'CY08 Coeffs'!$AJ28*A$45)*SQRT(('CY08 Coeffs'!$AI28*A$39+0.7*A$42)+(1+'CY08 Coeffs'!$X28*(EXP('CY08 Coeffs'!$Y28*(MIN(A$33,1130)-360))-EXP('CY08 Coeffs'!$Y28*770))*($E30/($E30+'CY08 Coeffs'!$Z28)))^2)</f>
        <v>0.46295943936956024</v>
      </c>
      <c r="H30" s="14">
        <f>'CY08 Coeffs'!$AE28+(('CY08 Coeffs'!$AF28-'CY08 Coeffs'!$AE28)/2)*(MIN(MAX(A$6,5),7)-5)</f>
        <v>0.23810000000000001</v>
      </c>
      <c r="I30" s="14">
        <f>SQRT(((1+'CY08 Coeffs'!$X28*(EXP('CY08 Coeffs'!$Y28*(MIN(A$33,1130)-360))-EXP('CY08 Coeffs'!$Y28*770))*($E30/($E30+'CY08 Coeffs'!$Z28)))^2)*$H30^2+$G30^2)</f>
        <v>0.52042881791547368</v>
      </c>
      <c r="J30" s="2"/>
    </row>
    <row r="31" spans="1:10" ht="15.75" customHeight="1">
      <c r="A31" s="17"/>
      <c r="B31" s="16"/>
      <c r="C31" s="1"/>
      <c r="D31" s="32"/>
      <c r="E31" s="27"/>
      <c r="F31" s="27"/>
      <c r="G31" s="2"/>
      <c r="H31" s="2"/>
      <c r="I31" s="2"/>
      <c r="J31" s="2"/>
    </row>
    <row r="32" spans="1:10" ht="15.75" customHeight="1">
      <c r="A32" s="5" t="s">
        <v>84</v>
      </c>
      <c r="C32" s="1"/>
      <c r="D32" s="32"/>
      <c r="E32" s="32"/>
      <c r="F32" s="27"/>
      <c r="G32" s="2"/>
      <c r="H32" s="2"/>
      <c r="I32" s="2"/>
      <c r="J32" s="2"/>
    </row>
    <row r="33" spans="1:14" ht="15.75" customHeight="1">
      <c r="A33" s="17">
        <f>IF(Main!$A$43&gt;1500,1500,Main!$A$43)</f>
        <v>760</v>
      </c>
      <c r="E33" s="32"/>
      <c r="F33" s="27"/>
      <c r="G33" s="2"/>
      <c r="H33" s="2"/>
      <c r="I33" s="2"/>
      <c r="J33" s="2"/>
    </row>
    <row r="34" spans="1:14" ht="15.75" customHeight="1">
      <c r="A34" s="17"/>
      <c r="B34" s="29"/>
      <c r="E34" s="32"/>
      <c r="F34" s="27"/>
      <c r="G34" s="2"/>
      <c r="H34" s="2"/>
      <c r="I34" s="2"/>
      <c r="J34" s="2"/>
    </row>
    <row r="35" spans="1:14" ht="15.75" customHeight="1">
      <c r="A35" s="5" t="s">
        <v>85</v>
      </c>
      <c r="B35" s="36"/>
      <c r="C35" s="16"/>
      <c r="J35" s="2"/>
    </row>
    <row r="36" spans="1:14" ht="15.75" customHeight="1">
      <c r="A36" s="17">
        <f>IF(Main!$A$49="DEFAULT",EXP(28.5-3.82/8*LN(A33^8+378.7^8)),Main!$A$49)</f>
        <v>23.544970526238696</v>
      </c>
      <c r="B36" s="36"/>
      <c r="C36" s="16"/>
      <c r="J36" s="2"/>
    </row>
    <row r="37" spans="1:14" ht="15.75" customHeight="1">
      <c r="A37" s="17"/>
      <c r="B37" s="37"/>
      <c r="C37" s="16"/>
      <c r="J37" s="2"/>
    </row>
    <row r="38" spans="1:14" ht="15.75" customHeight="1">
      <c r="A38" s="5" t="s">
        <v>211</v>
      </c>
      <c r="B38" s="37"/>
      <c r="C38" s="16"/>
      <c r="J38" s="2"/>
    </row>
    <row r="39" spans="1:14" ht="15.75" customHeight="1">
      <c r="A39" s="17">
        <f>1-A42</f>
        <v>0</v>
      </c>
      <c r="B39" s="37"/>
      <c r="C39" s="16"/>
      <c r="J39" s="2"/>
      <c r="M39" s="4"/>
      <c r="N39" s="4"/>
    </row>
    <row r="40" spans="1:14" ht="15.75" customHeight="1">
      <c r="A40" s="17"/>
      <c r="B40" s="38"/>
      <c r="C40" s="16"/>
      <c r="J40" s="2"/>
      <c r="M40" s="4"/>
      <c r="N40" s="4"/>
    </row>
    <row r="41" spans="1:14" ht="15.75" customHeight="1">
      <c r="A41" s="5" t="s">
        <v>86</v>
      </c>
      <c r="B41" s="37"/>
      <c r="C41" s="16"/>
      <c r="J41" s="2"/>
      <c r="K41" s="13"/>
      <c r="L41" s="13"/>
      <c r="M41" s="14"/>
      <c r="N41" s="14"/>
    </row>
    <row r="42" spans="1:14" ht="15.75" customHeight="1">
      <c r="A42" s="17">
        <f>Main!A46</f>
        <v>1</v>
      </c>
      <c r="B42" s="37"/>
      <c r="C42" s="16"/>
      <c r="J42" s="2"/>
      <c r="K42" s="13"/>
      <c r="L42" s="13"/>
      <c r="M42" s="14"/>
      <c r="N42" s="14"/>
    </row>
    <row r="43" spans="1:14" ht="15.75" customHeight="1">
      <c r="A43" s="17"/>
      <c r="B43" s="37"/>
      <c r="C43" s="16"/>
      <c r="J43" s="2"/>
      <c r="K43" s="13"/>
      <c r="L43" s="13"/>
      <c r="M43" s="14"/>
      <c r="N43" s="14"/>
    </row>
    <row r="44" spans="1:14" ht="15.75" customHeight="1">
      <c r="A44" s="5" t="s">
        <v>208</v>
      </c>
      <c r="B44" s="37"/>
      <c r="C44" s="16"/>
      <c r="J44" s="2"/>
      <c r="K44" s="13"/>
      <c r="L44" s="13"/>
      <c r="M44" s="14"/>
      <c r="N44" s="14"/>
    </row>
    <row r="45" spans="1:14" ht="15.75" customHeight="1">
      <c r="A45" s="39">
        <f>Main!$A$58</f>
        <v>0</v>
      </c>
      <c r="B45" s="37"/>
      <c r="C45" s="16"/>
      <c r="J45" s="2"/>
    </row>
    <row r="46" spans="1:14" ht="15.75" customHeight="1">
      <c r="A46" s="39"/>
      <c r="B46" s="37"/>
    </row>
    <row r="47" spans="1:14" ht="15.75" customHeight="1">
      <c r="A47" s="40" t="s">
        <v>34</v>
      </c>
      <c r="B47" s="37"/>
    </row>
    <row r="48" spans="1:14" ht="15.75" customHeight="1">
      <c r="B48" s="37"/>
    </row>
    <row r="49" spans="1:2" ht="15.75" customHeight="1">
      <c r="A49" s="41" t="s">
        <v>50</v>
      </c>
      <c r="B49" s="37" t="s">
        <v>39</v>
      </c>
    </row>
    <row r="50" spans="1:2" ht="15.75" customHeight="1">
      <c r="A50" s="41" t="s">
        <v>35</v>
      </c>
      <c r="B50" s="37" t="s">
        <v>36</v>
      </c>
    </row>
    <row r="51" spans="1:2" ht="15.75" customHeight="1">
      <c r="A51" s="42" t="s">
        <v>45</v>
      </c>
      <c r="B51" s="37" t="s">
        <v>37</v>
      </c>
    </row>
    <row r="52" spans="1:2" ht="15.75" customHeight="1">
      <c r="A52" s="43" t="s">
        <v>91</v>
      </c>
      <c r="B52" s="37" t="s">
        <v>40</v>
      </c>
    </row>
    <row r="53" spans="1:2" ht="15.75" customHeight="1">
      <c r="A53" s="43" t="s">
        <v>92</v>
      </c>
      <c r="B53" s="37" t="s">
        <v>41</v>
      </c>
    </row>
    <row r="54" spans="1:2" ht="15.75" customHeight="1">
      <c r="A54" s="43" t="s">
        <v>93</v>
      </c>
      <c r="B54" s="37" t="s">
        <v>51</v>
      </c>
    </row>
    <row r="55" spans="1:2" ht="15.75" customHeight="1">
      <c r="A55" s="43" t="s">
        <v>94</v>
      </c>
      <c r="B55" s="37" t="s">
        <v>42</v>
      </c>
    </row>
    <row r="56" spans="1:2" ht="15.75" customHeight="1">
      <c r="A56" s="43" t="s">
        <v>175</v>
      </c>
      <c r="B56" s="37" t="s">
        <v>53</v>
      </c>
    </row>
    <row r="57" spans="1:2" ht="15.75" customHeight="1">
      <c r="A57" s="43" t="s">
        <v>96</v>
      </c>
      <c r="B57" s="37" t="s">
        <v>52</v>
      </c>
    </row>
    <row r="58" spans="1:2" ht="15.75" customHeight="1">
      <c r="A58" s="43" t="s">
        <v>97</v>
      </c>
      <c r="B58" s="37" t="s">
        <v>38</v>
      </c>
    </row>
    <row r="59" spans="1:2" ht="15.75" customHeight="1">
      <c r="A59" s="44" t="s">
        <v>56</v>
      </c>
      <c r="B59" s="37" t="s">
        <v>43</v>
      </c>
    </row>
    <row r="60" spans="1:2" ht="15.75" customHeight="1">
      <c r="A60" s="43" t="s">
        <v>98</v>
      </c>
      <c r="B60" s="37" t="s">
        <v>44</v>
      </c>
    </row>
    <row r="61" spans="1:2" ht="15.75" customHeight="1">
      <c r="A61" s="43" t="s">
        <v>99</v>
      </c>
      <c r="B61" s="37" t="s">
        <v>57</v>
      </c>
    </row>
    <row r="62" spans="1:2" ht="15.75" customHeight="1">
      <c r="A62" s="43" t="s">
        <v>213</v>
      </c>
      <c r="B62" s="37" t="s">
        <v>214</v>
      </c>
    </row>
    <row r="63" spans="1:2" ht="15.75" customHeight="1">
      <c r="A63" s="43" t="s">
        <v>100</v>
      </c>
      <c r="B63" s="37" t="s">
        <v>58</v>
      </c>
    </row>
    <row r="64" spans="1:2" ht="15.75" customHeight="1">
      <c r="A64" s="43" t="s">
        <v>54</v>
      </c>
      <c r="B64" s="37" t="s">
        <v>55</v>
      </c>
    </row>
    <row r="65" spans="1:2" ht="15.75" customHeight="1">
      <c r="A65" s="45" t="s">
        <v>210</v>
      </c>
      <c r="B65" s="37" t="s">
        <v>212</v>
      </c>
    </row>
  </sheetData>
  <sheetProtection sheet="1" deleteColumns="0" deleteRows="0" sort="0"/>
  <mergeCells count="1">
    <mergeCell ref="C3:I3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AS08 Coeffs</vt:lpstr>
      <vt:lpstr>AS08</vt:lpstr>
      <vt:lpstr>BA08 Coeffs</vt:lpstr>
      <vt:lpstr>BA08</vt:lpstr>
      <vt:lpstr>CB08 Coeffs</vt:lpstr>
      <vt:lpstr>CB08</vt:lpstr>
      <vt:lpstr>CY08 Coeffs</vt:lpstr>
      <vt:lpstr>CY08</vt:lpstr>
      <vt:lpstr>I08 Coeffs</vt:lpstr>
      <vt:lpstr>I08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Al Atik</dc:creator>
  <cp:lastModifiedBy>harrismo</cp:lastModifiedBy>
  <dcterms:created xsi:type="dcterms:W3CDTF">2009-02-17T22:30:27Z</dcterms:created>
  <dcterms:modified xsi:type="dcterms:W3CDTF">2014-11-07T12:57:56Z</dcterms:modified>
</cp:coreProperties>
</file>